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S:\Borden Village - Pacoima - R2H Development\3.3 CDLAC\Borden Village - Application\Ready For Review\"/>
    </mc:Choice>
  </mc:AlternateContent>
  <xr:revisionPtr revIDLastSave="0" documentId="8_{6121EBF2-1145-4902-A5F2-43BE5690A865}"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28920" yWindow="-120" windowWidth="29040" windowHeight="15720" tabRatio="889"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38" i="3" l="1"/>
  <c r="AO636" i="3"/>
  <c r="F31" i="4"/>
  <c r="F93" i="4"/>
  <c r="A66" i="7"/>
  <c r="C30" i="4"/>
  <c r="S93" i="4"/>
  <c r="E93" i="4"/>
  <c r="C66" i="4"/>
  <c r="AC549" i="3"/>
  <c r="C75" i="4" l="1"/>
  <c r="C73" i="4"/>
  <c r="AO648" i="3"/>
  <c r="AO635" i="3" l="1"/>
  <c r="O729" i="3" l="1"/>
  <c r="R53" i="24" l="1"/>
  <c r="Z53" i="24"/>
  <c r="Z52" i="24"/>
  <c r="S43" i="4"/>
  <c r="E43" i="4"/>
  <c r="E34" i="4"/>
  <c r="AA943" i="3"/>
  <c r="W880" i="3"/>
  <c r="O737" i="3"/>
  <c r="O736" i="3"/>
  <c r="W869" i="3" l="1"/>
  <c r="W879" i="3"/>
  <c r="A41" i="7" l="1"/>
  <c r="F29" i="4"/>
  <c r="Z663" i="3" l="1"/>
  <c r="Z662" i="3"/>
  <c r="Z661" i="3"/>
  <c r="Z660" i="3"/>
  <c r="G663" i="3"/>
  <c r="G662" i="3"/>
  <c r="G660" i="3"/>
  <c r="T636" i="3"/>
  <c r="Q636" i="3"/>
  <c r="Q637" i="3"/>
  <c r="F4" i="4"/>
  <c r="S30" i="4"/>
  <c r="E85" i="4"/>
  <c r="S85" i="4"/>
  <c r="S41" i="4"/>
  <c r="E41" i="4"/>
  <c r="AF636" i="3" l="1"/>
  <c r="E41" i="7" s="1"/>
  <c r="C45" i="4"/>
  <c r="C83" i="4"/>
  <c r="C65" i="4"/>
  <c r="C48" i="4"/>
  <c r="E29" i="4" l="1"/>
  <c r="O735" i="3"/>
  <c r="O734" i="3"/>
  <c r="O733" i="3"/>
  <c r="O732" i="3"/>
  <c r="O731" i="3"/>
  <c r="O728" i="3"/>
  <c r="O727" i="3"/>
  <c r="O726" i="3"/>
  <c r="O730" i="3"/>
  <c r="E13" i="4"/>
  <c r="E4" i="4"/>
  <c r="E37" i="4"/>
  <c r="E36" i="4"/>
  <c r="Q400" i="3"/>
  <c r="AG402" i="3"/>
  <c r="Q402" i="3" s="1"/>
  <c r="H302" i="3"/>
  <c r="H299" i="3"/>
  <c r="H297" i="3"/>
  <c r="BI41" i="7" l="1"/>
  <c r="BK41" i="7"/>
  <c r="BI42" i="7"/>
  <c r="BK42" i="7"/>
  <c r="BG41" i="7"/>
  <c r="BG42" i="7"/>
  <c r="AI41" i="7"/>
  <c r="AK41" i="7"/>
  <c r="AM41" i="7"/>
  <c r="AO41" i="7"/>
  <c r="AQ41" i="7"/>
  <c r="AS41" i="7"/>
  <c r="AU41" i="7"/>
  <c r="AW41" i="7"/>
  <c r="AY41" i="7"/>
  <c r="BA41" i="7"/>
  <c r="BC41" i="7"/>
  <c r="BE41" i="7"/>
  <c r="AI42" i="7"/>
  <c r="AK42" i="7"/>
  <c r="AM42" i="7"/>
  <c r="AO42" i="7"/>
  <c r="AQ42" i="7"/>
  <c r="AS42" i="7"/>
  <c r="AU42" i="7"/>
  <c r="AW42" i="7"/>
  <c r="AY42" i="7"/>
  <c r="BA42" i="7"/>
  <c r="BC42" i="7"/>
  <c r="BE42" i="7"/>
  <c r="U204" i="24" l="1"/>
  <c r="AG451" i="3"/>
  <c r="AG452" i="3" s="1"/>
  <c r="Q635" i="3"/>
  <c r="AM563" i="3" l="1"/>
  <c r="E33" i="4" l="1"/>
  <c r="Z655" i="3" l="1"/>
  <c r="Z654" i="3"/>
  <c r="Z652" i="3"/>
  <c r="T635" i="3"/>
  <c r="AF635" i="3" s="1"/>
  <c r="G655" i="3" l="1"/>
  <c r="G654" i="3"/>
  <c r="G652" i="3"/>
  <c r="AA928" i="3"/>
  <c r="AA927" i="3"/>
  <c r="E92" i="4" l="1"/>
  <c r="E91" i="4"/>
  <c r="E90" i="4"/>
  <c r="E89" i="4"/>
  <c r="E88" i="4"/>
  <c r="E86" i="4"/>
  <c r="E83" i="4"/>
  <c r="E80" i="4"/>
  <c r="E79" i="4"/>
  <c r="E75" i="4"/>
  <c r="E73" i="4"/>
  <c r="E66" i="4"/>
  <c r="E65" i="4"/>
  <c r="E58" i="4"/>
  <c r="E56" i="4"/>
  <c r="E40" i="4"/>
  <c r="S36" i="4"/>
  <c r="S86" i="4"/>
  <c r="S89" i="4" l="1"/>
  <c r="S90" i="4"/>
  <c r="S53" i="4"/>
  <c r="S35" i="4"/>
  <c r="S33" i="4"/>
  <c r="S66" i="4"/>
  <c r="S99" i="4"/>
  <c r="S79" i="4"/>
  <c r="S48" i="4"/>
  <c r="S32" i="4"/>
  <c r="S31" i="4"/>
  <c r="S40" i="4"/>
  <c r="AC895" i="3"/>
  <c r="M261" i="3" l="1"/>
  <c r="G586" i="3" l="1"/>
  <c r="Z580" i="3" l="1"/>
  <c r="Z579" i="3"/>
  <c r="Z578" i="3"/>
  <c r="Z577" i="3"/>
  <c r="M265" i="3" l="1"/>
  <c r="M264" i="3"/>
  <c r="M263" i="3"/>
  <c r="AC262" i="3"/>
  <c r="W262" i="3"/>
  <c r="M262" i="3"/>
  <c r="Z586" i="3" l="1"/>
  <c r="Z588" i="3"/>
  <c r="I401" i="3"/>
  <c r="Z589" i="3"/>
  <c r="AC254" i="3"/>
  <c r="M257" i="3"/>
  <c r="M256" i="3"/>
  <c r="M255" i="3"/>
  <c r="M254" i="3"/>
  <c r="M253" i="3"/>
  <c r="H334" i="3"/>
  <c r="H332" i="3"/>
  <c r="H331" i="3"/>
  <c r="H329" i="3"/>
  <c r="H328" i="3"/>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BE106" i="3"/>
  <c r="BE107" i="3"/>
  <c r="BE108" i="3"/>
  <c r="BE109" i="3"/>
  <c r="BE110" i="3"/>
  <c r="BE105" i="3"/>
  <c r="BE64" i="3"/>
  <c r="G37" i="21" l="1"/>
  <c r="C39" i="21" s="1"/>
  <c r="T826" i="20"/>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AI16" i="7" s="1"/>
  <c r="AK16" i="7" s="1"/>
  <c r="AM16" i="7" s="1"/>
  <c r="AO16" i="7" s="1"/>
  <c r="AQ16" i="7" s="1"/>
  <c r="AS16" i="7" s="1"/>
  <c r="AU16" i="7" s="1"/>
  <c r="AW16" i="7" s="1"/>
  <c r="AY16" i="7" s="1"/>
  <c r="BA16" i="7" s="1"/>
  <c r="BC16" i="7" s="1"/>
  <c r="BE16" i="7" s="1"/>
  <c r="BG16" i="7" s="1"/>
  <c r="BI16" i="7" s="1"/>
  <c r="BK16" i="7" s="1"/>
  <c r="E17" i="7"/>
  <c r="G17" i="7" s="1"/>
  <c r="I17" i="7" s="1"/>
  <c r="K17" i="7" s="1"/>
  <c r="M17" i="7" s="1"/>
  <c r="O17" i="7" s="1"/>
  <c r="Q17" i="7" s="1"/>
  <c r="S17" i="7" s="1"/>
  <c r="U17" i="7" s="1"/>
  <c r="W17" i="7" s="1"/>
  <c r="Y17" i="7" s="1"/>
  <c r="AA17" i="7" s="1"/>
  <c r="AC17" i="7" s="1"/>
  <c r="AE17" i="7" s="1"/>
  <c r="AG17" i="7" s="1"/>
  <c r="AI17" i="7" s="1"/>
  <c r="AK17" i="7" s="1"/>
  <c r="AM17" i="7" s="1"/>
  <c r="AO17" i="7" s="1"/>
  <c r="AQ17" i="7" s="1"/>
  <c r="AS17" i="7" s="1"/>
  <c r="AU17" i="7" s="1"/>
  <c r="AW17" i="7" s="1"/>
  <c r="AY17" i="7" s="1"/>
  <c r="BA17" i="7" s="1"/>
  <c r="BC17" i="7" s="1"/>
  <c r="BE17" i="7" s="1"/>
  <c r="BG17" i="7" s="1"/>
  <c r="BI17" i="7" s="1"/>
  <c r="BK17" i="7" s="1"/>
  <c r="E18" i="7"/>
  <c r="G18" i="7" s="1"/>
  <c r="I18" i="7" s="1"/>
  <c r="K18" i="7" s="1"/>
  <c r="M18" i="7" s="1"/>
  <c r="O18" i="7" s="1"/>
  <c r="Q18" i="7" s="1"/>
  <c r="S18" i="7" s="1"/>
  <c r="U18" i="7" s="1"/>
  <c r="W18" i="7" s="1"/>
  <c r="Y18" i="7" s="1"/>
  <c r="AA18" i="7" s="1"/>
  <c r="AC18" i="7" s="1"/>
  <c r="AE18" i="7" s="1"/>
  <c r="AG18" i="7" s="1"/>
  <c r="AI18" i="7" s="1"/>
  <c r="AK18" i="7" s="1"/>
  <c r="AM18" i="7" s="1"/>
  <c r="AO18" i="7" s="1"/>
  <c r="AQ18" i="7" s="1"/>
  <c r="AS18" i="7" s="1"/>
  <c r="AU18" i="7" s="1"/>
  <c r="AW18" i="7" s="1"/>
  <c r="AY18" i="7" s="1"/>
  <c r="BA18" i="7" s="1"/>
  <c r="BC18" i="7" s="1"/>
  <c r="BE18" i="7" s="1"/>
  <c r="BG18" i="7" s="1"/>
  <c r="BI18" i="7" s="1"/>
  <c r="BK18" i="7" s="1"/>
  <c r="E19" i="7"/>
  <c r="E21" i="7"/>
  <c r="G21" i="7" s="1"/>
  <c r="I21" i="7" s="1"/>
  <c r="K21" i="7" s="1"/>
  <c r="M21" i="7" s="1"/>
  <c r="O21" i="7" s="1"/>
  <c r="Q21" i="7" s="1"/>
  <c r="S21" i="7" s="1"/>
  <c r="U21" i="7" s="1"/>
  <c r="W21" i="7" s="1"/>
  <c r="Y21" i="7" s="1"/>
  <c r="AA21" i="7" s="1"/>
  <c r="AC21" i="7" s="1"/>
  <c r="AE21" i="7" s="1"/>
  <c r="AG21" i="7" s="1"/>
  <c r="AI21" i="7" s="1"/>
  <c r="AK21" i="7" s="1"/>
  <c r="AM21" i="7" s="1"/>
  <c r="AO21" i="7" s="1"/>
  <c r="AQ21" i="7" s="1"/>
  <c r="AS21" i="7" s="1"/>
  <c r="AU21" i="7" s="1"/>
  <c r="AW21" i="7" s="1"/>
  <c r="AY21" i="7" s="1"/>
  <c r="BA21" i="7" s="1"/>
  <c r="BC21" i="7" s="1"/>
  <c r="BE21" i="7" s="1"/>
  <c r="BG21" i="7" s="1"/>
  <c r="BI21" i="7" s="1"/>
  <c r="BK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AI68" i="7" s="1"/>
  <c r="AK68" i="7" s="1"/>
  <c r="AM68" i="7" s="1"/>
  <c r="AO68" i="7" s="1"/>
  <c r="AQ68" i="7" s="1"/>
  <c r="AS68" i="7" s="1"/>
  <c r="AU68" i="7" s="1"/>
  <c r="AW68" i="7" s="1"/>
  <c r="AY68" i="7" s="1"/>
  <c r="BA68" i="7" s="1"/>
  <c r="BC68" i="7" s="1"/>
  <c r="BE68" i="7" s="1"/>
  <c r="BG68" i="7" s="1"/>
  <c r="BI68" i="7" s="1"/>
  <c r="BK68" i="7" s="1"/>
  <c r="G69" i="7"/>
  <c r="I69" i="7" s="1"/>
  <c r="K69" i="7" s="1"/>
  <c r="M69" i="7" s="1"/>
  <c r="O69" i="7" s="1"/>
  <c r="Q69" i="7" s="1"/>
  <c r="S69" i="7" s="1"/>
  <c r="U69" i="7" s="1"/>
  <c r="W69" i="7" s="1"/>
  <c r="Y69" i="7" s="1"/>
  <c r="AA69" i="7" s="1"/>
  <c r="AC69" i="7" s="1"/>
  <c r="AE69" i="7" s="1"/>
  <c r="AG69" i="7" s="1"/>
  <c r="AI69" i="7" s="1"/>
  <c r="AK69" i="7" s="1"/>
  <c r="AM69" i="7" s="1"/>
  <c r="AO69" i="7" s="1"/>
  <c r="AQ69" i="7" s="1"/>
  <c r="AS69" i="7" s="1"/>
  <c r="AU69" i="7" s="1"/>
  <c r="AW69" i="7" s="1"/>
  <c r="AY69" i="7" s="1"/>
  <c r="BA69" i="7" s="1"/>
  <c r="BC69" i="7" s="1"/>
  <c r="BE69" i="7" s="1"/>
  <c r="BG69" i="7" s="1"/>
  <c r="BI69" i="7" s="1"/>
  <c r="BK69" i="7" s="1"/>
  <c r="G54" i="7"/>
  <c r="I54" i="7" s="1"/>
  <c r="K54" i="7" s="1"/>
  <c r="M54" i="7" s="1"/>
  <c r="O54" i="7" s="1"/>
  <c r="Q54" i="7" s="1"/>
  <c r="S54" i="7" s="1"/>
  <c r="U54" i="7" s="1"/>
  <c r="W54" i="7" s="1"/>
  <c r="Y54" i="7" s="1"/>
  <c r="AA54" i="7" s="1"/>
  <c r="AC54" i="7" s="1"/>
  <c r="AE54" i="7" s="1"/>
  <c r="AG54" i="7" s="1"/>
  <c r="AI54" i="7" s="1"/>
  <c r="AK54" i="7" s="1"/>
  <c r="AM54" i="7" s="1"/>
  <c r="AO54" i="7" s="1"/>
  <c r="AQ54" i="7" s="1"/>
  <c r="AS54" i="7" s="1"/>
  <c r="AU54" i="7" s="1"/>
  <c r="AW54" i="7" s="1"/>
  <c r="AY54" i="7" s="1"/>
  <c r="BA54" i="7" s="1"/>
  <c r="BC54" i="7" s="1"/>
  <c r="BE54" i="7" s="1"/>
  <c r="BG54" i="7" s="1"/>
  <c r="BI54" i="7" s="1"/>
  <c r="BK54" i="7" s="1"/>
  <c r="G55" i="7"/>
  <c r="I55" i="7" s="1"/>
  <c r="K55" i="7" s="1"/>
  <c r="M55" i="7" s="1"/>
  <c r="O55" i="7" s="1"/>
  <c r="Q55" i="7" s="1"/>
  <c r="S55" i="7" s="1"/>
  <c r="U55" i="7" s="1"/>
  <c r="W55" i="7" s="1"/>
  <c r="Y55" i="7" s="1"/>
  <c r="AA55" i="7" s="1"/>
  <c r="AC55" i="7" s="1"/>
  <c r="AE55" i="7" s="1"/>
  <c r="AG55" i="7" s="1"/>
  <c r="AI55" i="7" s="1"/>
  <c r="AK55" i="7" s="1"/>
  <c r="AM55" i="7" s="1"/>
  <c r="AO55" i="7" s="1"/>
  <c r="AQ55" i="7" s="1"/>
  <c r="AS55" i="7" s="1"/>
  <c r="AU55" i="7" s="1"/>
  <c r="AW55" i="7" s="1"/>
  <c r="AY55" i="7" s="1"/>
  <c r="BA55" i="7" s="1"/>
  <c r="BC55" i="7" s="1"/>
  <c r="BE55" i="7" s="1"/>
  <c r="BG55" i="7" s="1"/>
  <c r="BI55" i="7" s="1"/>
  <c r="BK55" i="7" s="1"/>
  <c r="G56" i="7"/>
  <c r="I56" i="7" s="1"/>
  <c r="K56" i="7" s="1"/>
  <c r="M56" i="7" s="1"/>
  <c r="O56" i="7" s="1"/>
  <c r="Q56" i="7" s="1"/>
  <c r="S56" i="7" s="1"/>
  <c r="U56" i="7" s="1"/>
  <c r="AA56" i="7" s="1"/>
  <c r="AC56" i="7" s="1"/>
  <c r="AE56" i="7" s="1"/>
  <c r="AG56" i="7" s="1"/>
  <c r="AI56" i="7" s="1"/>
  <c r="AK56" i="7" s="1"/>
  <c r="AM56" i="7" s="1"/>
  <c r="AO56" i="7" s="1"/>
  <c r="AQ56" i="7" s="1"/>
  <c r="AS56" i="7" s="1"/>
  <c r="AU56" i="7" s="1"/>
  <c r="AW56" i="7" s="1"/>
  <c r="AY56" i="7" s="1"/>
  <c r="BA56" i="7" s="1"/>
  <c r="BC56" i="7" s="1"/>
  <c r="BE56" i="7" s="1"/>
  <c r="BG56" i="7" s="1"/>
  <c r="BI56" i="7" s="1"/>
  <c r="BK56" i="7" s="1"/>
  <c r="G57" i="7"/>
  <c r="I57" i="7" s="1"/>
  <c r="K57" i="7" s="1"/>
  <c r="M57" i="7" s="1"/>
  <c r="O57" i="7" s="1"/>
  <c r="Q57" i="7" s="1"/>
  <c r="S57" i="7" s="1"/>
  <c r="U57" i="7" s="1"/>
  <c r="W57" i="7" s="1"/>
  <c r="Y57" i="7" s="1"/>
  <c r="AA57" i="7" s="1"/>
  <c r="AC57" i="7" s="1"/>
  <c r="AE57" i="7" s="1"/>
  <c r="AG57" i="7" s="1"/>
  <c r="AI57" i="7" s="1"/>
  <c r="AK57" i="7" s="1"/>
  <c r="AM57" i="7" s="1"/>
  <c r="AO57" i="7" s="1"/>
  <c r="AQ57" i="7" s="1"/>
  <c r="AS57" i="7" s="1"/>
  <c r="AU57" i="7" s="1"/>
  <c r="AW57" i="7" s="1"/>
  <c r="AY57" i="7" s="1"/>
  <c r="BA57" i="7" s="1"/>
  <c r="BC57" i="7" s="1"/>
  <c r="BE57" i="7" s="1"/>
  <c r="BG57" i="7" s="1"/>
  <c r="BI57" i="7" s="1"/>
  <c r="BK57" i="7" s="1"/>
  <c r="G53" i="7"/>
  <c r="I53" i="7" s="1"/>
  <c r="K53" i="7" s="1"/>
  <c r="A61" i="15"/>
  <c r="BA487" i="3"/>
  <c r="BA478" i="3"/>
  <c r="G24" i="7"/>
  <c r="I24" i="7" s="1"/>
  <c r="K24" i="7" s="1"/>
  <c r="M24" i="7" s="1"/>
  <c r="O24" i="7" s="1"/>
  <c r="Q24" i="7" s="1"/>
  <c r="S24" i="7" s="1"/>
  <c r="U24" i="7" s="1"/>
  <c r="W24" i="7" s="1"/>
  <c r="Y24" i="7" s="1"/>
  <c r="AA24" i="7" s="1"/>
  <c r="AC24" i="7" s="1"/>
  <c r="AE24" i="7" s="1"/>
  <c r="AG24" i="7" s="1"/>
  <c r="AI24" i="7" s="1"/>
  <c r="AK24" i="7" s="1"/>
  <c r="AM24" i="7" s="1"/>
  <c r="AO24" i="7" s="1"/>
  <c r="AQ24" i="7" s="1"/>
  <c r="AS24" i="7" s="1"/>
  <c r="AU24" i="7" s="1"/>
  <c r="AW24" i="7" s="1"/>
  <c r="AY24" i="7" s="1"/>
  <c r="BA24" i="7" s="1"/>
  <c r="BC24" i="7" s="1"/>
  <c r="BE24" i="7" s="1"/>
  <c r="BG24" i="7" s="1"/>
  <c r="BI24" i="7" s="1"/>
  <c r="BK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2" i="4"/>
  <c r="R101" i="4"/>
  <c r="R95" i="4"/>
  <c r="R94" i="4"/>
  <c r="R93" i="4"/>
  <c r="R92" i="4"/>
  <c r="R90" i="4"/>
  <c r="R89" i="4"/>
  <c r="R88" i="4"/>
  <c r="R87" i="4"/>
  <c r="R86" i="4"/>
  <c r="R85" i="4"/>
  <c r="R83" i="4"/>
  <c r="R76" i="4"/>
  <c r="R75" i="4"/>
  <c r="R72" i="4"/>
  <c r="R73" i="4"/>
  <c r="R74" i="4"/>
  <c r="R69" i="4"/>
  <c r="R65" i="4"/>
  <c r="R61" i="4"/>
  <c r="R60" i="4"/>
  <c r="R59" i="4"/>
  <c r="R58" i="4"/>
  <c r="R57" i="4"/>
  <c r="R56" i="4"/>
  <c r="R43" i="4"/>
  <c r="R41" i="4"/>
  <c r="R40" i="4"/>
  <c r="R37" i="4"/>
  <c r="R34" i="4"/>
  <c r="R33" i="4"/>
  <c r="R29" i="4"/>
  <c r="R27" i="4"/>
  <c r="R25" i="4"/>
  <c r="R23" i="4"/>
  <c r="R22" i="4"/>
  <c r="R21" i="4"/>
  <c r="R20" i="4"/>
  <c r="R19" i="4"/>
  <c r="R18" i="4"/>
  <c r="R17" i="4"/>
  <c r="R15" i="4"/>
  <c r="R14" i="4"/>
  <c r="R13" i="4"/>
  <c r="R9"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5" i="4"/>
  <c r="B6" i="4"/>
  <c r="B7" i="4"/>
  <c r="E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K104" i="4"/>
  <c r="L104" i="4"/>
  <c r="Q104" i="4"/>
  <c r="E108" i="4"/>
  <c r="F108" i="4"/>
  <c r="G108" i="4"/>
  <c r="G30" i="4" s="1"/>
  <c r="H108" i="4"/>
  <c r="H30" i="4" s="1"/>
  <c r="H38" i="4" s="1"/>
  <c r="I108" i="4"/>
  <c r="I99" i="4" s="1"/>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E99" i="4" l="1"/>
  <c r="AU186" i="24" s="1"/>
  <c r="AU185" i="24"/>
  <c r="I104" i="4"/>
  <c r="F30" i="4"/>
  <c r="E30" i="4" s="1"/>
  <c r="R30" i="4" s="1"/>
  <c r="G38" i="4"/>
  <c r="BI40" i="7"/>
  <c r="BI43" i="7" s="1"/>
  <c r="BK40" i="7"/>
  <c r="BK43" i="7" s="1"/>
  <c r="BI28" i="7"/>
  <c r="BK28" i="7"/>
  <c r="BI29" i="7"/>
  <c r="BK29" i="7"/>
  <c r="AW40" i="7"/>
  <c r="AW43" i="7" s="1"/>
  <c r="BA40" i="7"/>
  <c r="BA43" i="7" s="1"/>
  <c r="AY40" i="7"/>
  <c r="AY43" i="7" s="1"/>
  <c r="BC40" i="7"/>
  <c r="BC43" i="7" s="1"/>
  <c r="AO40" i="7"/>
  <c r="AO43" i="7" s="1"/>
  <c r="BG40" i="7"/>
  <c r="BG43" i="7" s="1"/>
  <c r="BE40" i="7"/>
  <c r="BE43" i="7" s="1"/>
  <c r="AI40" i="7"/>
  <c r="AI43" i="7" s="1"/>
  <c r="AU40" i="7"/>
  <c r="AU43" i="7" s="1"/>
  <c r="AS40" i="7"/>
  <c r="AS43" i="7" s="1"/>
  <c r="AK40" i="7"/>
  <c r="AK43" i="7" s="1"/>
  <c r="AM40" i="7"/>
  <c r="AM43" i="7" s="1"/>
  <c r="AQ40" i="7"/>
  <c r="AQ43" i="7" s="1"/>
  <c r="AY28" i="7"/>
  <c r="BA28" i="7"/>
  <c r="BC28" i="7"/>
  <c r="BE28" i="7"/>
  <c r="AQ28" i="7"/>
  <c r="AK28" i="7"/>
  <c r="AS28" i="7"/>
  <c r="BG28" i="7"/>
  <c r="AW28" i="7"/>
  <c r="AI28" i="7"/>
  <c r="AM28" i="7"/>
  <c r="AO28" i="7"/>
  <c r="AU28" i="7"/>
  <c r="AI29" i="7"/>
  <c r="AK29" i="7"/>
  <c r="BA29" i="7"/>
  <c r="BC29" i="7"/>
  <c r="BG29" i="7"/>
  <c r="BE29" i="7"/>
  <c r="AM29" i="7"/>
  <c r="AS29" i="7"/>
  <c r="AY29" i="7"/>
  <c r="AO29" i="7"/>
  <c r="AQ29" i="7"/>
  <c r="AU29" i="7"/>
  <c r="AW29" i="7"/>
  <c r="G104" i="4"/>
  <c r="B26" i="13"/>
  <c r="BE23" i="3"/>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D11" i="11"/>
  <c r="C63" i="11"/>
  <c r="B55" i="11"/>
  <c r="F63" i="13"/>
  <c r="F97" i="13" s="1"/>
  <c r="F105" i="13" s="1"/>
  <c r="F107" i="13" s="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62" i="4"/>
  <c r="D63" i="13"/>
  <c r="D97" i="13" s="1"/>
  <c r="D105" i="13" s="1"/>
  <c r="B97" i="11"/>
  <c r="C55" i="11"/>
  <c r="D23" i="11"/>
  <c r="D19" i="11"/>
  <c r="D14" i="11"/>
  <c r="D7" i="11"/>
  <c r="R96" i="4"/>
  <c r="G63" i="13"/>
  <c r="G97" i="13" s="1"/>
  <c r="G105" i="13" s="1"/>
  <c r="G107" i="13" s="1"/>
  <c r="R81" i="4"/>
  <c r="M53" i="7"/>
  <c r="K58" i="7"/>
  <c r="C27" i="11"/>
  <c r="AB48" i="15"/>
  <c r="D46" i="11"/>
  <c r="B82" i="11"/>
  <c r="H63" i="4"/>
  <c r="H97"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AI30" i="7" s="1"/>
  <c r="AK30" i="7" s="1"/>
  <c r="AM30" i="7" s="1"/>
  <c r="AO30" i="7" s="1"/>
  <c r="AQ30" i="7" s="1"/>
  <c r="AS30" i="7" s="1"/>
  <c r="AU30" i="7" s="1"/>
  <c r="AW30" i="7" s="1"/>
  <c r="AY30" i="7" s="1"/>
  <c r="BA30" i="7" s="1"/>
  <c r="BC30" i="7" s="1"/>
  <c r="BE30" i="7" s="1"/>
  <c r="BG30" i="7" s="1"/>
  <c r="BI30" i="7" s="1"/>
  <c r="BK30" i="7" s="1"/>
  <c r="G31" i="7"/>
  <c r="I31" i="7" s="1"/>
  <c r="K31" i="7" s="1"/>
  <c r="M31" i="7" s="1"/>
  <c r="O31" i="7" s="1"/>
  <c r="Q31" i="7" s="1"/>
  <c r="S31" i="7" s="1"/>
  <c r="U31" i="7" s="1"/>
  <c r="W31" i="7" s="1"/>
  <c r="Y31" i="7" s="1"/>
  <c r="AA31" i="7" s="1"/>
  <c r="AC31" i="7" s="1"/>
  <c r="AE31" i="7" s="1"/>
  <c r="AG31" i="7" s="1"/>
  <c r="AI31" i="7" s="1"/>
  <c r="AK31" i="7" s="1"/>
  <c r="AM31" i="7" s="1"/>
  <c r="AO31" i="7" s="1"/>
  <c r="AQ31" i="7" s="1"/>
  <c r="AS31" i="7" s="1"/>
  <c r="AU31" i="7" s="1"/>
  <c r="AW31" i="7" s="1"/>
  <c r="AY31" i="7" s="1"/>
  <c r="BA31" i="7" s="1"/>
  <c r="BC31" i="7" s="1"/>
  <c r="BE31" i="7" s="1"/>
  <c r="BG31" i="7" s="1"/>
  <c r="BI31" i="7" s="1"/>
  <c r="BK31" i="7" s="1"/>
  <c r="E20" i="7"/>
  <c r="G20" i="7" s="1"/>
  <c r="I20" i="7" s="1"/>
  <c r="K20" i="7" s="1"/>
  <c r="M20" i="7" s="1"/>
  <c r="O20" i="7" s="1"/>
  <c r="Q20" i="7" s="1"/>
  <c r="S20" i="7" s="1"/>
  <c r="U20" i="7" s="1"/>
  <c r="W20" i="7" s="1"/>
  <c r="Y20" i="7" s="1"/>
  <c r="AA20" i="7" s="1"/>
  <c r="AC20" i="7" s="1"/>
  <c r="AE20" i="7" s="1"/>
  <c r="AG20" i="7" s="1"/>
  <c r="AI20" i="7" s="1"/>
  <c r="AK20" i="7" s="1"/>
  <c r="AM20" i="7" s="1"/>
  <c r="AO20" i="7" s="1"/>
  <c r="AQ20" i="7" s="1"/>
  <c r="AS20" i="7" s="1"/>
  <c r="AU20" i="7" s="1"/>
  <c r="AW20" i="7" s="1"/>
  <c r="AY20" i="7" s="1"/>
  <c r="BA20" i="7" s="1"/>
  <c r="BC20" i="7" s="1"/>
  <c r="BE20" i="7" s="1"/>
  <c r="BG20" i="7" s="1"/>
  <c r="BI20" i="7" s="1"/>
  <c r="BK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I32" i="7" s="1"/>
  <c r="AK32" i="7" s="1"/>
  <c r="AM32" i="7" s="1"/>
  <c r="AO32" i="7" s="1"/>
  <c r="AQ32" i="7" s="1"/>
  <c r="AS32" i="7" s="1"/>
  <c r="AU32" i="7" s="1"/>
  <c r="AW32" i="7" s="1"/>
  <c r="AY32" i="7" s="1"/>
  <c r="BA32" i="7" s="1"/>
  <c r="BC32" i="7" s="1"/>
  <c r="BE32" i="7" s="1"/>
  <c r="BG32" i="7" s="1"/>
  <c r="BI32" i="7" s="1"/>
  <c r="BK32" i="7" s="1"/>
  <c r="AC40" i="7"/>
  <c r="AC43" i="7" s="1"/>
  <c r="I40" i="7"/>
  <c r="I43" i="7" s="1"/>
  <c r="P43" i="21" a="1"/>
  <c r="P43" i="21" s="1"/>
  <c r="G33" i="7"/>
  <c r="I33" i="7" s="1"/>
  <c r="K33" i="7" s="1"/>
  <c r="M33" i="7" s="1"/>
  <c r="O33" i="7" s="1"/>
  <c r="Q33" i="7" s="1"/>
  <c r="S33" i="7" s="1"/>
  <c r="U33" i="7" s="1"/>
  <c r="W33" i="7" s="1"/>
  <c r="Y33" i="7" s="1"/>
  <c r="AA33" i="7" s="1"/>
  <c r="AC33" i="7" s="1"/>
  <c r="AE33" i="7" s="1"/>
  <c r="AG33" i="7" s="1"/>
  <c r="AI33" i="7" s="1"/>
  <c r="AK33" i="7" s="1"/>
  <c r="AM33" i="7" s="1"/>
  <c r="AO33" i="7" s="1"/>
  <c r="AQ33" i="7" s="1"/>
  <c r="AS33" i="7" s="1"/>
  <c r="AU33" i="7" s="1"/>
  <c r="AW33" i="7" s="1"/>
  <c r="AY33" i="7" s="1"/>
  <c r="BA33" i="7" s="1"/>
  <c r="BC33" i="7" s="1"/>
  <c r="BE33" i="7" s="1"/>
  <c r="BG33" i="7" s="1"/>
  <c r="BI33" i="7" s="1"/>
  <c r="BK33" i="7" s="1"/>
  <c r="K40" i="7"/>
  <c r="K43" i="7" s="1"/>
  <c r="G26" i="7"/>
  <c r="I26" i="7" s="1"/>
  <c r="K26" i="7" s="1"/>
  <c r="M26" i="7" s="1"/>
  <c r="O26" i="7" s="1"/>
  <c r="Q26" i="7" s="1"/>
  <c r="S26" i="7" s="1"/>
  <c r="U26" i="7" s="1"/>
  <c r="W26" i="7" s="1"/>
  <c r="Y26" i="7" s="1"/>
  <c r="AA26" i="7" s="1"/>
  <c r="AC26" i="7" s="1"/>
  <c r="AE26" i="7" s="1"/>
  <c r="AG26" i="7" s="1"/>
  <c r="AI26" i="7" s="1"/>
  <c r="AK26" i="7" s="1"/>
  <c r="AM26" i="7" s="1"/>
  <c r="AO26" i="7" s="1"/>
  <c r="AQ26" i="7" s="1"/>
  <c r="AS26" i="7" s="1"/>
  <c r="AU26" i="7" s="1"/>
  <c r="AW26" i="7" s="1"/>
  <c r="AY26" i="7" s="1"/>
  <c r="BA26" i="7" s="1"/>
  <c r="BC26" i="7" s="1"/>
  <c r="BE26" i="7" s="1"/>
  <c r="BG26" i="7" s="1"/>
  <c r="BI26" i="7" s="1"/>
  <c r="BK26" i="7" s="1"/>
  <c r="G27" i="7"/>
  <c r="I27" i="7" s="1"/>
  <c r="K27" i="7" s="1"/>
  <c r="M27" i="7" s="1"/>
  <c r="O27" i="7" s="1"/>
  <c r="Q27" i="7" s="1"/>
  <c r="S27" i="7" s="1"/>
  <c r="U27" i="7" s="1"/>
  <c r="W27" i="7" s="1"/>
  <c r="Y27" i="7" s="1"/>
  <c r="AA27" i="7" s="1"/>
  <c r="AC27" i="7" s="1"/>
  <c r="AE27" i="7" s="1"/>
  <c r="AG27" i="7" s="1"/>
  <c r="AI27" i="7" s="1"/>
  <c r="AK27" i="7" s="1"/>
  <c r="AM27" i="7" s="1"/>
  <c r="AO27" i="7" s="1"/>
  <c r="AQ27" i="7" s="1"/>
  <c r="AS27" i="7" s="1"/>
  <c r="AU27" i="7" s="1"/>
  <c r="AW27" i="7" s="1"/>
  <c r="AY27" i="7" s="1"/>
  <c r="BA27" i="7" s="1"/>
  <c r="BC27" i="7" s="1"/>
  <c r="BE27" i="7" s="1"/>
  <c r="BG27" i="7" s="1"/>
  <c r="BI27" i="7" s="1"/>
  <c r="BK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AI19" i="7" s="1"/>
  <c r="AK19" i="7" s="1"/>
  <c r="AM19" i="7" s="1"/>
  <c r="AO19" i="7" s="1"/>
  <c r="AQ19" i="7" s="1"/>
  <c r="AS19" i="7" s="1"/>
  <c r="AU19" i="7" s="1"/>
  <c r="AW19" i="7" s="1"/>
  <c r="AY19" i="7" s="1"/>
  <c r="BA19" i="7" s="1"/>
  <c r="BC19" i="7" s="1"/>
  <c r="BE19" i="7" s="1"/>
  <c r="BG19" i="7" s="1"/>
  <c r="BI19" i="7" s="1"/>
  <c r="BK19" i="7" s="1"/>
  <c r="R33" i="21" a="1"/>
  <c r="R33" i="21" s="1"/>
  <c r="R24" i="21" a="1"/>
  <c r="R24" i="21" s="1"/>
  <c r="E27" i="21"/>
  <c r="G51" i="21"/>
  <c r="E26" i="21"/>
  <c r="E24" i="21"/>
  <c r="F24" i="21" s="1"/>
  <c r="G40" i="8"/>
  <c r="I15" i="7"/>
  <c r="E28" i="21"/>
  <c r="E25" i="21"/>
  <c r="F25" i="21" s="1"/>
  <c r="G25" i="21" s="1"/>
  <c r="F32" i="4" l="1"/>
  <c r="E32" i="4" s="1"/>
  <c r="R32" i="4" s="1"/>
  <c r="I105" i="4"/>
  <c r="E35" i="4"/>
  <c r="R35" i="4" s="1"/>
  <c r="H104" i="4"/>
  <c r="H105" i="4" s="1"/>
  <c r="AU187" i="24"/>
  <c r="E104" i="4"/>
  <c r="AJ634" i="20"/>
  <c r="AK816" i="20" s="1"/>
  <c r="T841" i="20" s="1"/>
  <c r="AF841" i="20" s="1"/>
  <c r="BE82" i="3" s="1"/>
  <c r="G108" i="21"/>
  <c r="R99" i="4"/>
  <c r="G8" i="4"/>
  <c r="D105" i="11"/>
  <c r="N190" i="24"/>
  <c r="I15" i="21"/>
  <c r="D43" i="11"/>
  <c r="D71" i="11"/>
  <c r="B12" i="4"/>
  <c r="D55" i="11"/>
  <c r="D82" i="11"/>
  <c r="D39" i="11"/>
  <c r="D78" i="11"/>
  <c r="D12" i="11"/>
  <c r="D63" i="11"/>
  <c r="B13" i="11"/>
  <c r="C64" i="11"/>
  <c r="C98" i="11" s="1"/>
  <c r="B64" i="11"/>
  <c r="B98" i="11" s="1"/>
  <c r="B106" i="11" s="1"/>
  <c r="B63" i="4"/>
  <c r="D27" i="11"/>
  <c r="D97" i="11"/>
  <c r="T97" i="4"/>
  <c r="H63" i="13"/>
  <c r="BE71" i="3"/>
  <c r="E63" i="13"/>
  <c r="S97" i="4"/>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31"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G63" i="4" l="1"/>
  <c r="G97" i="4" s="1"/>
  <c r="G105" i="4" s="1"/>
  <c r="G12" i="4"/>
  <c r="R4" i="4"/>
  <c r="R8" i="4" s="1"/>
  <c r="R12" i="4" s="1"/>
  <c r="F8" i="4"/>
  <c r="AC464" i="3"/>
  <c r="O29" i="21"/>
  <c r="P29" i="21" s="1" a="1"/>
  <c r="P29" i="21" s="1"/>
  <c r="S29" i="21" s="1"/>
  <c r="O30" i="21"/>
  <c r="P30" i="21" s="1" a="1"/>
  <c r="P30" i="21" s="1"/>
  <c r="S30" i="21" s="1"/>
  <c r="O27" i="21"/>
  <c r="P27" i="21" s="1" a="1"/>
  <c r="P27" i="21" s="1"/>
  <c r="S27" i="21" s="1"/>
  <c r="O28" i="21"/>
  <c r="P28" i="21" s="1" a="1"/>
  <c r="P28" i="21" s="1"/>
  <c r="S28" i="21" s="1"/>
  <c r="O25" i="21"/>
  <c r="P25" i="21" s="1" a="1"/>
  <c r="P25" i="21" s="1"/>
  <c r="S25" i="21" s="1"/>
  <c r="O26" i="21"/>
  <c r="P26" i="21" s="1" a="1"/>
  <c r="P26" i="21" s="1"/>
  <c r="S26" i="21" s="1"/>
  <c r="O20" i="21"/>
  <c r="P20" i="21" s="1" a="1"/>
  <c r="P20" i="21" s="1"/>
  <c r="S20"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AM565" i="3" s="1"/>
  <c r="AM574" i="3" s="1"/>
  <c r="BE101" i="3"/>
  <c r="AK83" i="20"/>
  <c r="D13" i="11"/>
  <c r="B97" i="13"/>
  <c r="B97" i="4"/>
  <c r="AZ1055" i="3"/>
  <c r="S105" i="4"/>
  <c r="E97" i="13"/>
  <c r="B105" i="13"/>
  <c r="AG268" i="20"/>
  <c r="O58" i="7"/>
  <c r="Q53" i="7"/>
  <c r="T105" i="4"/>
  <c r="H97" i="13"/>
  <c r="P31" i="21" a="1"/>
  <c r="P31" i="21" s="1"/>
  <c r="S31"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F12" i="4" l="1"/>
  <c r="AC463" i="3"/>
  <c r="BE44" i="3" s="1"/>
  <c r="AB265" i="20"/>
  <c r="AG267" i="20" s="1"/>
  <c r="AG269" i="20" s="1"/>
  <c r="AK272" i="20" s="1"/>
  <c r="T834" i="20" s="1"/>
  <c r="BE77" i="3" s="1"/>
  <c r="N180" i="24"/>
  <c r="S107" i="4"/>
  <c r="AE707" i="3" s="1"/>
  <c r="I9" i="21"/>
  <c r="AK190" i="20"/>
  <c r="T827" i="20"/>
  <c r="AF827" i="20" s="1"/>
  <c r="AB47" i="15"/>
  <c r="AB49" i="15" s="1"/>
  <c r="BE22" i="3"/>
  <c r="E105" i="13"/>
  <c r="BA1065" i="3"/>
  <c r="AZ1060" i="3"/>
  <c r="H105" i="13"/>
  <c r="T107" i="4"/>
  <c r="H107" i="13" s="1"/>
  <c r="Q58" i="7"/>
  <c r="S53" i="7"/>
  <c r="G45" i="21"/>
  <c r="G47" i="21" s="1"/>
  <c r="E10" i="21" s="1"/>
  <c r="E11" i="21"/>
  <c r="AP718" i="20"/>
  <c r="AP719" i="20"/>
  <c r="I4" i="7"/>
  <c r="I5" i="7" s="1"/>
  <c r="K9" i="7"/>
  <c r="E11" i="7"/>
  <c r="E37" i="7" s="1"/>
  <c r="E49" i="7" s="1"/>
  <c r="AJ1001" i="3"/>
  <c r="AJ1038" i="3" s="1"/>
  <c r="E137" i="20"/>
  <c r="E138" i="20" s="1"/>
  <c r="AK142" i="20" s="1"/>
  <c r="AB1000" i="3"/>
  <c r="DU810" i="3"/>
  <c r="U386" i="20" s="1"/>
  <c r="P430" i="3"/>
  <c r="I6" i="7"/>
  <c r="G7" i="7"/>
  <c r="G11" i="7" s="1"/>
  <c r="G37" i="7" s="1"/>
  <c r="M22" i="7"/>
  <c r="M35" i="7" s="1"/>
  <c r="O15" i="7"/>
  <c r="M9" i="7"/>
  <c r="O8" i="7"/>
  <c r="G27" i="21"/>
  <c r="F26" i="21"/>
  <c r="AC465" i="3" l="1"/>
  <c r="AD11" i="15"/>
  <c r="AD23" i="15" s="1"/>
  <c r="AD26" i="15" s="1"/>
  <c r="AD28" i="15" s="1"/>
  <c r="AI11" i="15"/>
  <c r="AI23" i="15" s="1"/>
  <c r="AI26" i="15" s="1"/>
  <c r="AI28" i="15" s="1"/>
  <c r="BE72" i="3"/>
  <c r="G166" i="21"/>
  <c r="G165" i="21"/>
  <c r="N181" i="24"/>
  <c r="N191" i="24"/>
  <c r="T829" i="20"/>
  <c r="AF829" i="20" s="1"/>
  <c r="T833" i="20"/>
  <c r="AF833" i="20" s="1"/>
  <c r="BE76" i="3"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G62" i="7" l="1"/>
  <c r="Y64" i="15"/>
  <c r="Y68" i="15" s="1"/>
  <c r="Y69" i="15" s="1"/>
  <c r="T29" i="15"/>
  <c r="AP567" i="20"/>
  <c r="G94" i="21"/>
  <c r="E15" i="21" s="1"/>
  <c r="W58" i="7"/>
  <c r="Y53" i="7"/>
  <c r="T24" i="15"/>
  <c r="AP570" i="20"/>
  <c r="AP569" i="20" s="1"/>
  <c r="K11" i="7"/>
  <c r="K37" i="7" s="1"/>
  <c r="K45" i="7" s="1"/>
  <c r="E66" i="7"/>
  <c r="O5" i="7"/>
  <c r="Q4" i="7"/>
  <c r="M7" i="7"/>
  <c r="M11" i="7" s="1"/>
  <c r="M37" i="7" s="1"/>
  <c r="O6" i="7"/>
  <c r="I48" i="7"/>
  <c r="I60" i="7"/>
  <c r="I47" i="7"/>
  <c r="G115" i="21"/>
  <c r="G127" i="21"/>
  <c r="G111" i="21"/>
  <c r="S22" i="7"/>
  <c r="S35" i="7" s="1"/>
  <c r="U15" i="7"/>
  <c r="U8" i="7"/>
  <c r="S9" i="7"/>
  <c r="G66" i="7" l="1"/>
  <c r="I62" i="7"/>
  <c r="AP572" i="20"/>
  <c r="AF565" i="20" s="1"/>
  <c r="AF566" i="20" s="1"/>
  <c r="AK572" i="20" s="1"/>
  <c r="T840" i="20" s="1"/>
  <c r="AF840" i="20" s="1"/>
  <c r="BE81" i="3" s="1"/>
  <c r="Y38" i="15"/>
  <c r="Y40" i="15" s="1"/>
  <c r="AA53" i="7"/>
  <c r="Y58" i="7"/>
  <c r="AD38" i="15"/>
  <c r="AD40" i="15" s="1"/>
  <c r="G129" i="21"/>
  <c r="E17" i="21" s="1"/>
  <c r="E14" i="21" s="1"/>
  <c r="E18" i="21" s="1"/>
  <c r="K49" i="7"/>
  <c r="E70" i="7"/>
  <c r="E72" i="7" s="1"/>
  <c r="S4" i="7"/>
  <c r="Q5" i="7"/>
  <c r="O7" i="7"/>
  <c r="O11" i="7" s="1"/>
  <c r="O37" i="7" s="1"/>
  <c r="Q6" i="7"/>
  <c r="M45" i="7"/>
  <c r="M49" i="7"/>
  <c r="K47" i="7"/>
  <c r="K60" i="7"/>
  <c r="K48" i="7"/>
  <c r="U22" i="7"/>
  <c r="U35" i="7" s="1"/>
  <c r="W15" i="7"/>
  <c r="U9" i="7"/>
  <c r="W8" i="7"/>
  <c r="I66" i="7" l="1"/>
  <c r="I70" i="7" s="1"/>
  <c r="I72" i="7" s="1"/>
  <c r="K62" i="7"/>
  <c r="G70" i="7"/>
  <c r="G72" i="7" s="1"/>
  <c r="Y41" i="15"/>
  <c r="AC53" i="7"/>
  <c r="AA58" i="7"/>
  <c r="U4" i="7"/>
  <c r="S5" i="7"/>
  <c r="M48" i="7"/>
  <c r="M47" i="7"/>
  <c r="M60" i="7"/>
  <c r="O45" i="7"/>
  <c r="O49" i="7"/>
  <c r="Q7" i="7"/>
  <c r="Q11" i="7" s="1"/>
  <c r="Q37" i="7" s="1"/>
  <c r="S6" i="7"/>
  <c r="W22" i="7"/>
  <c r="W35" i="7" s="1"/>
  <c r="Y15" i="7"/>
  <c r="W9" i="7"/>
  <c r="Y8" i="7"/>
  <c r="K66" i="7" l="1"/>
  <c r="M62" i="7"/>
  <c r="M66" i="7" s="1"/>
  <c r="K70" i="7"/>
  <c r="K72" i="7" s="1"/>
  <c r="AB50" i="15"/>
  <c r="AE53" i="7"/>
  <c r="AC58" i="7"/>
  <c r="U5" i="7"/>
  <c r="W4" i="7"/>
  <c r="Q49" i="7"/>
  <c r="Q45" i="7"/>
  <c r="O47" i="7"/>
  <c r="O48" i="7"/>
  <c r="O60" i="7"/>
  <c r="S7" i="7"/>
  <c r="S11" i="7" s="1"/>
  <c r="S37" i="7" s="1"/>
  <c r="U6" i="7"/>
  <c r="Y22" i="7"/>
  <c r="Y35" i="7" s="1"/>
  <c r="AA15" i="7"/>
  <c r="Y9" i="7"/>
  <c r="AA8" i="7"/>
  <c r="O62" i="7" l="1"/>
  <c r="O66" i="7" s="1"/>
  <c r="BE62" i="3"/>
  <c r="AB54" i="15"/>
  <c r="AB55" i="15" s="1"/>
  <c r="AB56" i="15" s="1"/>
  <c r="AG53" i="7"/>
  <c r="AE58" i="7"/>
  <c r="W5" i="7"/>
  <c r="Y4" i="7"/>
  <c r="U7" i="7"/>
  <c r="U11" i="7" s="1"/>
  <c r="U37" i="7" s="1"/>
  <c r="W6" i="7"/>
  <c r="Q60" i="7"/>
  <c r="Q48" i="7"/>
  <c r="Q47" i="7"/>
  <c r="S49" i="7"/>
  <c r="S45" i="7"/>
  <c r="AC15" i="7"/>
  <c r="AA22" i="7"/>
  <c r="AA35" i="7" s="1"/>
  <c r="AC8" i="7"/>
  <c r="AA9" i="7"/>
  <c r="Q62" i="7" l="1"/>
  <c r="Q66" i="7" s="1"/>
  <c r="O70" i="7"/>
  <c r="O72" i="7" s="1"/>
  <c r="M70" i="7"/>
  <c r="M72" i="7" s="1"/>
  <c r="AG58" i="7"/>
  <c r="AI53" i="7"/>
  <c r="M26" i="3"/>
  <c r="AB57" i="15"/>
  <c r="AB59" i="15" s="1"/>
  <c r="AB77" i="15" s="1"/>
  <c r="AB78" i="15" s="1"/>
  <c r="I10" i="21" s="1"/>
  <c r="AA4" i="7"/>
  <c r="Y5" i="7"/>
  <c r="Y6" i="7"/>
  <c r="W7" i="7"/>
  <c r="W11" i="7" s="1"/>
  <c r="W37" i="7" s="1"/>
  <c r="U45" i="7"/>
  <c r="U49" i="7"/>
  <c r="S48" i="7"/>
  <c r="S47" i="7"/>
  <c r="S60" i="7"/>
  <c r="AE15" i="7"/>
  <c r="AC22" i="7"/>
  <c r="AC35" i="7" s="1"/>
  <c r="AC9" i="7"/>
  <c r="AE8" i="7"/>
  <c r="S62" i="7" l="1"/>
  <c r="S66" i="7" s="1"/>
  <c r="AK53" i="7"/>
  <c r="AI58" i="7"/>
  <c r="AB79" i="15"/>
  <c r="AB81" i="15" s="1"/>
  <c r="J82" i="15" s="1"/>
  <c r="P204" i="3"/>
  <c r="BE19" i="3"/>
  <c r="M27" i="3"/>
  <c r="I11" i="21"/>
  <c r="I18" i="21" s="1"/>
  <c r="AA5" i="7"/>
  <c r="AC4" i="7"/>
  <c r="U48" i="7"/>
  <c r="U60" i="7"/>
  <c r="U62" i="7" s="1"/>
  <c r="U47" i="7"/>
  <c r="W49" i="7"/>
  <c r="W45" i="7"/>
  <c r="Y7" i="7"/>
  <c r="Y11" i="7" s="1"/>
  <c r="Y37" i="7" s="1"/>
  <c r="AA6" i="7"/>
  <c r="AE22" i="7"/>
  <c r="AE35" i="7" s="1"/>
  <c r="AG15" i="7"/>
  <c r="AE9" i="7"/>
  <c r="AG8" i="7"/>
  <c r="U66" i="7" l="1"/>
  <c r="Q70" i="7"/>
  <c r="Q72" i="7" s="1"/>
  <c r="AG9" i="7"/>
  <c r="AI8" i="7"/>
  <c r="AG22" i="7"/>
  <c r="AG35" i="7" s="1"/>
  <c r="AI15" i="7"/>
  <c r="AM53" i="7"/>
  <c r="AK58" i="7"/>
  <c r="BE20" i="3"/>
  <c r="H4" i="21"/>
  <c r="P205" i="3"/>
  <c r="AC5" i="7"/>
  <c r="AE4" i="7"/>
  <c r="AC6" i="7"/>
  <c r="AA7" i="7"/>
  <c r="AA11" i="7" s="1"/>
  <c r="AA37" i="7" s="1"/>
  <c r="Y49" i="7"/>
  <c r="Y45" i="7"/>
  <c r="W60" i="7"/>
  <c r="W47" i="7"/>
  <c r="W48" i="7"/>
  <c r="W62" i="7" l="1"/>
  <c r="W66" i="7" s="1"/>
  <c r="S70" i="7"/>
  <c r="S72" i="7" s="1"/>
  <c r="AK15" i="7"/>
  <c r="AI22" i="7"/>
  <c r="AI35" i="7" s="1"/>
  <c r="AM58" i="7"/>
  <c r="AO53" i="7"/>
  <c r="AK8" i="7"/>
  <c r="AI9" i="7"/>
  <c r="AE5" i="7"/>
  <c r="AG4" i="7"/>
  <c r="AI4" i="7" s="1"/>
  <c r="AA45" i="7"/>
  <c r="AA49" i="7"/>
  <c r="Y47" i="7"/>
  <c r="Y48" i="7"/>
  <c r="Y60" i="7"/>
  <c r="AE6" i="7"/>
  <c r="AC7" i="7"/>
  <c r="AC11" i="7" s="1"/>
  <c r="AC37" i="7" s="1"/>
  <c r="Y62" i="7" l="1"/>
  <c r="Y66" i="7" s="1"/>
  <c r="U70" i="7"/>
  <c r="U72" i="7" s="1"/>
  <c r="W70" i="7"/>
  <c r="W72" i="7" s="1"/>
  <c r="AK9" i="7"/>
  <c r="AM8" i="7"/>
  <c r="AK4" i="7"/>
  <c r="AI5" i="7"/>
  <c r="AO58" i="7"/>
  <c r="AQ53" i="7"/>
  <c r="AM15" i="7"/>
  <c r="AK22" i="7"/>
  <c r="AK35" i="7" s="1"/>
  <c r="AG5" i="7"/>
  <c r="AA60" i="7"/>
  <c r="AA47" i="7"/>
  <c r="AA48" i="7"/>
  <c r="AC45" i="7"/>
  <c r="AC49" i="7"/>
  <c r="AE7" i="7"/>
  <c r="AE11" i="7" s="1"/>
  <c r="AE37" i="7" s="1"/>
  <c r="AG6" i="7"/>
  <c r="AI6" i="7" s="1"/>
  <c r="AA62" i="7" l="1"/>
  <c r="AA66" i="7" s="1"/>
  <c r="AO15" i="7"/>
  <c r="AM22" i="7"/>
  <c r="AM35" i="7" s="1"/>
  <c r="AM9" i="7"/>
  <c r="AO8" i="7"/>
  <c r="AS53" i="7"/>
  <c r="AQ58" i="7"/>
  <c r="AM4" i="7"/>
  <c r="AK5" i="7"/>
  <c r="AK6" i="7"/>
  <c r="AI7" i="7"/>
  <c r="AI11" i="7" s="1"/>
  <c r="AI37" i="7" s="1"/>
  <c r="Y70" i="7"/>
  <c r="Y72" i="7" s="1"/>
  <c r="AG7" i="7"/>
  <c r="AG11" i="7" s="1"/>
  <c r="AG37" i="7" s="1"/>
  <c r="AE49" i="7"/>
  <c r="AE45" i="7"/>
  <c r="AC60" i="7"/>
  <c r="AC48" i="7"/>
  <c r="AC47" i="7"/>
  <c r="AC62" i="7" l="1"/>
  <c r="AC66" i="7" s="1"/>
  <c r="AI45" i="7"/>
  <c r="AI49" i="7"/>
  <c r="AK7" i="7"/>
  <c r="AK11" i="7" s="1"/>
  <c r="AK37" i="7" s="1"/>
  <c r="AM6" i="7"/>
  <c r="AM5" i="7"/>
  <c r="AO4" i="7"/>
  <c r="AS58" i="7"/>
  <c r="AU53" i="7"/>
  <c r="AO9" i="7"/>
  <c r="AQ8" i="7"/>
  <c r="AQ15" i="7"/>
  <c r="AO22" i="7"/>
  <c r="AO35" i="7" s="1"/>
  <c r="AA70" i="7"/>
  <c r="AA72" i="7" s="1"/>
  <c r="AE47" i="7"/>
  <c r="AE60" i="7"/>
  <c r="AE48" i="7"/>
  <c r="AG49" i="7"/>
  <c r="AG45" i="7"/>
  <c r="AE62" i="7" l="1"/>
  <c r="AE66" i="7" s="1"/>
  <c r="AC70" i="7"/>
  <c r="AC72" i="7" s="1"/>
  <c r="AK45" i="7"/>
  <c r="AK49" i="7"/>
  <c r="AQ9" i="7"/>
  <c r="AS8" i="7"/>
  <c r="AQ4" i="7"/>
  <c r="AO5" i="7"/>
  <c r="AI48" i="7"/>
  <c r="AI47" i="7"/>
  <c r="AI60" i="7"/>
  <c r="AS15" i="7"/>
  <c r="AQ22" i="7"/>
  <c r="AQ35" i="7" s="1"/>
  <c r="AU58" i="7"/>
  <c r="AW53" i="7"/>
  <c r="AO6" i="7"/>
  <c r="AM7" i="7"/>
  <c r="AM11" i="7" s="1"/>
  <c r="AM37" i="7" s="1"/>
  <c r="AG48" i="7"/>
  <c r="AG60" i="7"/>
  <c r="AG47" i="7"/>
  <c r="AG62" i="7" l="1"/>
  <c r="AG66" i="7" s="1"/>
  <c r="AQ6" i="7"/>
  <c r="AO7" i="7"/>
  <c r="AO11" i="7" s="1"/>
  <c r="AO37" i="7" s="1"/>
  <c r="AW58" i="7"/>
  <c r="AY53" i="7"/>
  <c r="AU15" i="7"/>
  <c r="AS22" i="7"/>
  <c r="AS35" i="7" s="1"/>
  <c r="AS9" i="7"/>
  <c r="AU8" i="7"/>
  <c r="AM49" i="7"/>
  <c r="AM45" i="7"/>
  <c r="AQ5" i="7"/>
  <c r="AS4" i="7"/>
  <c r="AK60" i="7"/>
  <c r="AK47" i="7"/>
  <c r="AK48" i="7"/>
  <c r="AE70" i="7"/>
  <c r="AE72" i="7" s="1"/>
  <c r="AI62" i="7" l="1"/>
  <c r="AK62" i="7" s="1"/>
  <c r="AI66" i="7"/>
  <c r="AG70" i="7"/>
  <c r="AG72" i="7" s="1"/>
  <c r="AU4" i="7"/>
  <c r="AS5" i="7"/>
  <c r="AM48" i="7"/>
  <c r="AM47" i="7"/>
  <c r="AM60" i="7"/>
  <c r="AO49" i="7"/>
  <c r="AO45" i="7"/>
  <c r="AW15" i="7"/>
  <c r="AU22" i="7"/>
  <c r="AU35" i="7" s="1"/>
  <c r="AW8" i="7"/>
  <c r="AU9" i="7"/>
  <c r="BA53" i="7"/>
  <c r="AY58" i="7"/>
  <c r="AQ7" i="7"/>
  <c r="AQ11" i="7" s="1"/>
  <c r="AQ37" i="7" s="1"/>
  <c r="AS6" i="7"/>
  <c r="BH761" i="3"/>
  <c r="AC761" i="3" s="1"/>
  <c r="AK66" i="7" l="1"/>
  <c r="AM62" i="7"/>
  <c r="AM66" i="7" s="1"/>
  <c r="AQ45" i="7"/>
  <c r="AQ49" i="7"/>
  <c r="BC53" i="7"/>
  <c r="BA58" i="7"/>
  <c r="AW9" i="7"/>
  <c r="AY8" i="7"/>
  <c r="AY15" i="7"/>
  <c r="AW22" i="7"/>
  <c r="AW35" i="7" s="1"/>
  <c r="AO47" i="7"/>
  <c r="AO60" i="7"/>
  <c r="AO62" i="7" s="1"/>
  <c r="AO48" i="7"/>
  <c r="AU5" i="7"/>
  <c r="AW4" i="7"/>
  <c r="AS7" i="7"/>
  <c r="AS11" i="7" s="1"/>
  <c r="AS37" i="7" s="1"/>
  <c r="AU6" i="7"/>
  <c r="BE42" i="3"/>
  <c r="E92" i="20"/>
  <c r="E93" i="20" s="1"/>
  <c r="E94" i="20" s="1"/>
  <c r="E102" i="20"/>
  <c r="E105" i="20" s="1"/>
  <c r="AP105" i="20" s="1"/>
  <c r="AK108" i="20" s="1"/>
  <c r="T828" i="20" s="1"/>
  <c r="AF828" i="20" s="1"/>
  <c r="AO66" i="7" l="1"/>
  <c r="AI70" i="7"/>
  <c r="AI72" i="7" s="1"/>
  <c r="AK70" i="7"/>
  <c r="AK72" i="7" s="1"/>
  <c r="AS45" i="7"/>
  <c r="AS49" i="7"/>
  <c r="AY4" i="7"/>
  <c r="AW5" i="7"/>
  <c r="AY22" i="7"/>
  <c r="AY35" i="7" s="1"/>
  <c r="BA15" i="7"/>
  <c r="AW6" i="7"/>
  <c r="AU7" i="7"/>
  <c r="AU11" i="7" s="1"/>
  <c r="AU37" i="7" s="1"/>
  <c r="BA8" i="7"/>
  <c r="AY9" i="7"/>
  <c r="BE53" i="7"/>
  <c r="BC58" i="7"/>
  <c r="AQ48" i="7"/>
  <c r="AQ60" i="7"/>
  <c r="AQ62" i="7" s="1"/>
  <c r="AQ47" i="7"/>
  <c r="BE73" i="3"/>
  <c r="AF843" i="20"/>
  <c r="BE70" i="3" s="1"/>
  <c r="H3" i="21"/>
  <c r="AQ66" i="7" l="1"/>
  <c r="AM70" i="7"/>
  <c r="AM72" i="7" s="1"/>
  <c r="AY6" i="7"/>
  <c r="AW7" i="7"/>
  <c r="AW11" i="7" s="1"/>
  <c r="AW37" i="7" s="1"/>
  <c r="AU49" i="7"/>
  <c r="AU45" i="7"/>
  <c r="BA22" i="7"/>
  <c r="BA35" i="7" s="1"/>
  <c r="BC15" i="7"/>
  <c r="BE58" i="7"/>
  <c r="BG53" i="7"/>
  <c r="BA9" i="7"/>
  <c r="BC8" i="7"/>
  <c r="AY5" i="7"/>
  <c r="BA4" i="7"/>
  <c r="AS47" i="7"/>
  <c r="AS48" i="7"/>
  <c r="AS60" i="7"/>
  <c r="AS62" i="7" s="1"/>
  <c r="H5" i="21"/>
  <c r="BE83" i="3" s="1"/>
  <c r="E45" i="4"/>
  <c r="R45" i="4" s="1"/>
  <c r="R47" i="4"/>
  <c r="E49" i="4"/>
  <c r="R49" i="4" s="1"/>
  <c r="E50" i="4"/>
  <c r="R50" i="4" s="1"/>
  <c r="R51" i="4"/>
  <c r="E48" i="4"/>
  <c r="R48" i="4" s="1"/>
  <c r="R52" i="4"/>
  <c r="E46" i="4"/>
  <c r="R46" i="4" s="1"/>
  <c r="R53" i="4"/>
  <c r="AS66" i="7" l="1"/>
  <c r="AO70" i="7"/>
  <c r="AO72" i="7" s="1"/>
  <c r="BG58" i="7"/>
  <c r="BI53" i="7"/>
  <c r="AW45" i="7"/>
  <c r="AW49" i="7"/>
  <c r="BE8" i="7"/>
  <c r="BC9" i="7"/>
  <c r="BA5" i="7"/>
  <c r="BC4" i="7"/>
  <c r="AU47" i="7"/>
  <c r="AU48" i="7"/>
  <c r="AU60" i="7"/>
  <c r="AU62" i="7" s="1"/>
  <c r="BC22" i="7"/>
  <c r="BC35" i="7" s="1"/>
  <c r="BE15" i="7"/>
  <c r="AY7" i="7"/>
  <c r="AY11" i="7" s="1"/>
  <c r="AY37" i="7" s="1"/>
  <c r="BA6" i="7"/>
  <c r="R54" i="4"/>
  <c r="E54" i="4"/>
  <c r="AU66" i="7" l="1"/>
  <c r="AQ70" i="7"/>
  <c r="AQ72" i="7" s="1"/>
  <c r="BI58" i="7"/>
  <c r="BK53" i="7"/>
  <c r="BK58" i="7" s="1"/>
  <c r="AY45" i="7"/>
  <c r="AY49" i="7"/>
  <c r="BE9" i="7"/>
  <c r="BG8" i="7"/>
  <c r="BE22" i="7"/>
  <c r="BE35" i="7" s="1"/>
  <c r="BG15" i="7"/>
  <c r="BC5" i="7"/>
  <c r="BE4" i="7"/>
  <c r="BC6" i="7"/>
  <c r="BA7" i="7"/>
  <c r="BA11" i="7" s="1"/>
  <c r="BA37" i="7" s="1"/>
  <c r="AW48" i="7"/>
  <c r="AW60" i="7"/>
  <c r="AW62" i="7" s="1"/>
  <c r="AW47" i="7"/>
  <c r="AW66" i="7" l="1"/>
  <c r="AS70" i="7"/>
  <c r="AS72" i="7" s="1"/>
  <c r="BG22" i="7"/>
  <c r="BG35" i="7" s="1"/>
  <c r="BI15" i="7"/>
  <c r="BG9" i="7"/>
  <c r="BI8" i="7"/>
  <c r="BG4" i="7"/>
  <c r="BI4" i="7" s="1"/>
  <c r="BE5" i="7"/>
  <c r="BE6" i="7"/>
  <c r="BC7" i="7"/>
  <c r="BC11" i="7" s="1"/>
  <c r="BC37" i="7" s="1"/>
  <c r="BA49" i="7"/>
  <c r="BA45" i="7"/>
  <c r="AY48" i="7"/>
  <c r="AY60" i="7"/>
  <c r="AY62" i="7" s="1"/>
  <c r="AY47" i="7"/>
  <c r="AY66" i="7" l="1"/>
  <c r="AU70" i="7"/>
  <c r="AU72" i="7" s="1"/>
  <c r="BI9" i="7"/>
  <c r="BK8" i="7"/>
  <c r="BK9" i="7" s="1"/>
  <c r="BI22" i="7"/>
  <c r="BI35" i="7" s="1"/>
  <c r="BK15" i="7"/>
  <c r="BK22" i="7" s="1"/>
  <c r="BK35" i="7" s="1"/>
  <c r="BK4" i="7"/>
  <c r="BI5" i="7"/>
  <c r="BC45" i="7"/>
  <c r="BC49" i="7"/>
  <c r="BG6" i="7"/>
  <c r="BE7" i="7"/>
  <c r="BE11" i="7" s="1"/>
  <c r="BE37" i="7" s="1"/>
  <c r="BA60" i="7"/>
  <c r="BA62" i="7" s="1"/>
  <c r="BA47" i="7"/>
  <c r="BA48" i="7"/>
  <c r="BG5" i="7"/>
  <c r="BA66" i="7" l="1"/>
  <c r="AY70" i="7"/>
  <c r="AY72" i="7" s="1"/>
  <c r="AW70" i="7"/>
  <c r="AW72" i="7" s="1"/>
  <c r="BK5" i="7"/>
  <c r="BG7" i="7"/>
  <c r="BG11" i="7" s="1"/>
  <c r="BG37" i="7" s="1"/>
  <c r="BG45" i="7" s="1"/>
  <c r="BI6" i="7"/>
  <c r="BE45" i="7"/>
  <c r="BE49" i="7"/>
  <c r="BC47" i="7"/>
  <c r="BC48" i="7"/>
  <c r="BC60" i="7"/>
  <c r="BC62" i="7" s="1"/>
  <c r="BC66" i="7" l="1"/>
  <c r="BA70" i="7"/>
  <c r="BA72" i="7" s="1"/>
  <c r="BG49" i="7"/>
  <c r="BK6" i="7"/>
  <c r="BI7" i="7"/>
  <c r="BI11" i="7" s="1"/>
  <c r="BI37" i="7" s="1"/>
  <c r="BE48" i="7"/>
  <c r="BE47" i="7"/>
  <c r="BE60" i="7"/>
  <c r="BE62" i="7" s="1"/>
  <c r="BG48" i="7"/>
  <c r="BG60" i="7"/>
  <c r="BG47" i="7"/>
  <c r="BE66" i="7" l="1"/>
  <c r="BC70" i="7"/>
  <c r="BC72" i="7" s="1"/>
  <c r="BG62" i="7"/>
  <c r="BI49" i="7"/>
  <c r="BI45" i="7"/>
  <c r="BK7" i="7"/>
  <c r="BK11" i="7" s="1"/>
  <c r="BK37" i="7" s="1"/>
  <c r="BG66" i="7" l="1"/>
  <c r="BE70" i="7"/>
  <c r="BE72" i="7" s="1"/>
  <c r="BK49" i="7"/>
  <c r="BK45" i="7"/>
  <c r="BI47" i="7"/>
  <c r="BI60" i="7"/>
  <c r="BI62" i="7" s="1"/>
  <c r="BI48" i="7"/>
  <c r="BI66" i="7" l="1"/>
  <c r="BK48" i="7"/>
  <c r="BK60" i="7"/>
  <c r="BK62" i="7" s="1"/>
  <c r="BK47" i="7"/>
  <c r="BK66" i="7" l="1"/>
  <c r="BG70" i="7"/>
  <c r="BG72" i="7" s="1"/>
  <c r="BI70" i="7" l="1"/>
  <c r="BI72" i="7" s="1"/>
  <c r="BK70" i="7" l="1"/>
  <c r="BK72" i="7" s="1"/>
  <c r="E31" i="4"/>
  <c r="R31" i="4" s="1"/>
  <c r="R38" i="4" s="1"/>
  <c r="R63" i="4" s="1"/>
  <c r="R97" i="4" s="1"/>
  <c r="F38" i="4"/>
  <c r="F63" i="4" s="1"/>
  <c r="F97" i="4" s="1"/>
  <c r="E38" i="4" l="1"/>
  <c r="E63" i="4" s="1"/>
  <c r="E97" i="4" s="1"/>
  <c r="E105" i="4" s="1"/>
  <c r="R103" i="4"/>
  <c r="R104" i="4" s="1"/>
  <c r="R105" i="4" s="1"/>
  <c r="F104" i="4"/>
  <c r="F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<sst xmlns="http://schemas.openxmlformats.org/spreadsheetml/2006/main" count="5112" uniqueCount="2781">
  <si>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</si>
  <si>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</si>
  <si>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</si>
  <si>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</si>
  <si>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</si>
  <si>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</si>
  <si>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</si>
  <si>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</si>
  <si>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</si>
  <si>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</si>
  <si>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</si>
  <si>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</si>
  <si>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</si>
  <si>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</si>
  <si>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</si>
  <si>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</si>
  <si>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</si>
  <si>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</si>
  <si>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</si>
  <si>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</si>
  <si>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</si>
  <si>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</si>
  <si>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</si>
  <si>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</si>
  <si>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</si>
  <si>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</si>
  <si>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</si>
  <si>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</si>
  <si>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</si>
  <si>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</si>
  <si>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</si>
  <si>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</si>
  <si>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</si>
  <si>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</si>
  <si>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</si>
  <si>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</si>
  <si>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</si>
  <si>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</si>
  <si>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</si>
  <si>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</si>
  <si>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</si>
  <si>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</si>
  <si>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</si>
  <si>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</si>
  <si>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</si>
  <si>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</si>
  <si>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</si>
  <si>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</si>
  <si>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</si>
  <si>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</si>
  <si>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</si>
  <si>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</si>
  <si>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</si>
  <si>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</si>
  <si>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</si>
  <si>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</si>
  <si>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</si>
  <si>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</si>
  <si>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</si>
  <si>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</si>
  <si>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</si>
  <si>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</si>
  <si>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</si>
  <si>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</si>
  <si>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</si>
  <si>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</si>
  <si>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</si>
  <si>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</si>
  <si>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</si>
  <si>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</si>
  <si>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</si>
  <si>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</si>
  <si>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</si>
  <si>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</si>
  <si>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</si>
  <si>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</si>
  <si>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</si>
  <si>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</si>
  <si>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</si>
  <si>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</si>
  <si>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</si>
  <si>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</si>
  <si>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</si>
  <si>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</si>
  <si>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</si>
  <si>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</si>
  <si>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</si>
  <si>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</si>
  <si>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</si>
  <si>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</si>
  <si>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</si>
  <si>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</si>
  <si>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</si>
  <si>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</si>
  <si>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</si>
  <si>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</si>
  <si>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</si>
  <si>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</si>
  <si>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</si>
  <si>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</si>
  <si>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</si>
  <si>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</si>
  <si>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</si>
  <si>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</si>
  <si>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</si>
  <si>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</si>
  <si>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</si>
  <si>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</si>
  <si>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</si>
  <si>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</si>
  <si>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</si>
  <si>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</si>
  <si>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</si>
  <si>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</si>
  <si>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</si>
  <si>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</si>
  <si>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</si>
  <si>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</si>
  <si>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</si>
  <si>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</si>
  <si>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</si>
  <si>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</si>
  <si>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</si>
  <si>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</si>
  <si>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</si>
  <si>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</si>
  <si>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</si>
  <si>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</si>
  <si>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</si>
  <si>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</si>
  <si>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</si>
  <si>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</si>
  <si>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</si>
  <si>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</si>
  <si>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</si>
  <si>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</si>
  <si>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</si>
  <si>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</si>
  <si>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</si>
  <si>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</si>
  <si>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</si>
  <si>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</si>
  <si>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</si>
  <si>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</si>
  <si>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</si>
  <si>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</si>
  <si>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</si>
  <si>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</si>
  <si>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</si>
  <si>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</si>
  <si>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</si>
  <si>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</si>
  <si>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</si>
  <si>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</si>
  <si>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</si>
  <si>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</si>
  <si>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</si>
  <si>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</si>
  <si>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</si>
  <si>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</si>
  <si>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</si>
  <si>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</si>
  <si>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</si>
  <si>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</si>
  <si>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</si>
  <si>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</si>
  <si>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</si>
  <si>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</si>
  <si>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</si>
  <si>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</si>
  <si>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</si>
  <si>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</si>
  <si>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</si>
  <si>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</si>
  <si>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</si>
  <si>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</si>
  <si>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</si>
  <si>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</si>
  <si>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</si>
  <si>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</si>
  <si>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</si>
  <si>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</si>
  <si>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</si>
  <si>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</si>
  <si>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</si>
  <si>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</si>
  <si>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</si>
  <si>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</si>
  <si>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</si>
  <si>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</si>
  <si>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</si>
  <si>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</si>
  <si>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</si>
  <si>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</si>
  <si>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</si>
  <si>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</si>
  <si>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</si>
  <si>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</si>
  <si>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</si>
  <si>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</si>
  <si>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</si>
  <si>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</si>
  <si>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</si>
  <si>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</si>
  <si>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</si>
  <si>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</si>
  <si>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</si>
  <si>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</si>
  <si>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</si>
  <si>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</si>
  <si>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</si>
  <si>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</si>
  <si>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</si>
  <si>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</si>
  <si>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</si>
  <si>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</si>
  <si>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</si>
  <si>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</si>
  <si>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</si>
  <si>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</si>
  <si>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</si>
  <si>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</si>
  <si>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</si>
  <si>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</si>
  <si>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</si>
  <si>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</si>
  <si>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</si>
  <si>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</si>
  <si>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</si>
  <si>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</si>
  <si>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</si>
  <si>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</si>
  <si>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</si>
  <si>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</si>
  <si>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</si>
  <si>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</si>
  <si>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</si>
  <si>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</si>
  <si>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</si>
  <si>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</si>
  <si>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</si>
  <si>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</si>
  <si>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</si>
  <si>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</si>
  <si>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</si>
  <si>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</si>
  <si>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</si>
  <si>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</si>
  <si>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</si>
  <si>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</si>
  <si>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</si>
  <si>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</si>
  <si>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</si>
  <si>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</si>
  <si>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</si>
  <si>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</si>
  <si>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</si>
  <si>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</si>
  <si>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</si>
  <si>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</si>
  <si>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</si>
  <si>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</si>
  <si>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</si>
  <si>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</si>
  <si>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</si>
  <si>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</si>
  <si>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</si>
  <si>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</si>
  <si>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</si>
  <si>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</si>
  <si>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</si>
  <si>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</si>
  <si>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</si>
  <si>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</si>
  <si>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</si>
  <si>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</si>
  <si>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</si>
  <si>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</si>
  <si>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</si>
  <si>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</si>
  <si>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</si>
  <si>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</si>
  <si>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</si>
  <si>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</si>
  <si>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</si>
  <si>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</si>
  <si>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</si>
  <si>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</si>
  <si>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</si>
  <si>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</si>
  <si>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</si>
  <si>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</si>
  <si>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</si>
  <si>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</si>
  <si>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</si>
  <si>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</si>
  <si>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</si>
  <si>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</si>
  <si>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</si>
  <si>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</si>
  <si>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</si>
  <si>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</si>
  <si>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</si>
  <si>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</si>
  <si>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</si>
  <si>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</si>
  <si>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</si>
  <si>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</si>
  <si>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</si>
  <si>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</si>
  <si>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</si>
  <si>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</si>
  <si>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</si>
  <si>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</si>
  <si>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</si>
  <si>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</si>
  <si>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</si>
  <si>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</si>
  <si>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</si>
  <si>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</si>
  <si>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</si>
  <si>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</si>
  <si>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</si>
  <si>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</si>
  <si>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</si>
  <si>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</si>
  <si>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</si>
  <si>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</si>
  <si>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</si>
  <si>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</si>
  <si>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</si>
  <si>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</si>
  <si>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</si>
  <si>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</si>
  <si>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</si>
  <si>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</si>
  <si>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</si>
  <si>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</si>
  <si>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</si>
  <si>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</si>
  <si>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</si>
  <si>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</si>
  <si>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</si>
  <si>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</si>
  <si>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</si>
  <si>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</si>
  <si>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</si>
  <si>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</si>
  <si>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</si>
  <si>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</si>
  <si>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</si>
  <si>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</si>
  <si>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</si>
  <si>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</si>
  <si>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</si>
  <si>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</si>
  <si>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</si>
  <si>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</si>
  <si>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</si>
  <si>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</si>
  <si>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</si>
  <si>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</si>
  <si>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</si>
  <si>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</si>
  <si>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</si>
  <si>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</si>
  <si>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</si>
  <si>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</si>
  <si>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</si>
  <si>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</si>
  <si>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</si>
  <si>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</si>
  <si>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</si>
  <si>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</si>
  <si>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</si>
  <si>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</si>
  <si>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</si>
  <si>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</si>
  <si>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</si>
  <si>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</si>
  <si>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</si>
  <si>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</si>
  <si>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</si>
  <si>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</si>
  <si>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</si>
  <si>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</si>
  <si>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</si>
  <si>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</si>
  <si>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</si>
  <si>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</si>
  <si>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</si>
  <si>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</si>
  <si>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</si>
  <si>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</si>
  <si>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</si>
  <si>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</si>
  <si>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</si>
  <si>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</si>
  <si>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</si>
  <si>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</si>
  <si>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</si>
  <si>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</si>
  <si>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</si>
  <si>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</si>
  <si>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</si>
  <si>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</si>
  <si>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</si>
  <si>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</si>
  <si>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</si>
  <si>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</si>
  <si>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</si>
  <si>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</si>
  <si>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</si>
  <si>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</si>
  <si>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</si>
  <si>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</si>
  <si>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</si>
  <si>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</si>
  <si>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</si>
  <si>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</si>
  <si>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</si>
  <si>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</si>
  <si>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</si>
  <si>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</si>
  <si>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</si>
  <si>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</si>
  <si>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</si>
  <si>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</si>
  <si>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</si>
  <si>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</si>
  <si>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</si>
  <si>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</si>
  <si>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</si>
  <si>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</si>
  <si>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</si>
  <si>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</si>
  <si>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</si>
  <si>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</si>
  <si>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</si>
  <si>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</si>
  <si>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</si>
  <si>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</si>
  <si>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</si>
  <si>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</si>
  <si>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</si>
  <si>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</si>
  <si>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</si>
  <si>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</si>
  <si>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</si>
  <si>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</si>
  <si>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</si>
  <si>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</si>
  <si>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</si>
  <si>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</si>
  <si>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</si>
  <si>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</si>
  <si>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</si>
  <si>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</si>
  <si>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</si>
  <si>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</si>
  <si>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</si>
  <si>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</si>
  <si>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</si>
  <si>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</si>
  <si>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</si>
  <si>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</si>
  <si>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</si>
  <si>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</si>
  <si>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</si>
  <si>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</si>
  <si>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</si>
  <si>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</si>
  <si>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</si>
  <si>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</si>
  <si>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</si>
  <si>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</si>
  <si>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</si>
  <si>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</si>
  <si>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</si>
  <si>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</si>
  <si>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</si>
  <si>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</si>
  <si>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</si>
  <si>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</si>
  <si>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</si>
  <si>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</si>
  <si>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</si>
  <si>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</si>
  <si>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</si>
  <si>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</si>
  <si>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</si>
  <si>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</si>
  <si>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</si>
  <si>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</si>
  <si>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</si>
  <si>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</si>
  <si>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</si>
  <si>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</si>
  <si>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</si>
  <si>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</si>
  <si>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</si>
  <si>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</si>
  <si>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</si>
  <si>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</si>
  <si>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</si>
  <si>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</si>
  <si>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</si>
  <si>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</si>
  <si>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</si>
  <si>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</si>
  <si>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</si>
  <si>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</si>
  <si>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</si>
  <si>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</si>
  <si>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</si>
  <si>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</si>
  <si>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</si>
  <si>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</si>
  <si>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</si>
  <si>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</si>
  <si>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</si>
  <si>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</si>
  <si>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</si>
  <si>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</si>
  <si>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</si>
  <si>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</si>
  <si>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</si>
  <si>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</si>
  <si>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</si>
  <si>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</si>
  <si>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</si>
  <si>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</si>
  <si>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</si>
  <si>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</si>
  <si>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</si>
  <si>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</si>
  <si>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</si>
  <si>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</si>
  <si>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</si>
  <si>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</si>
  <si>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</si>
  <si>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</si>
  <si>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</si>
  <si>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</si>
  <si>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</si>
  <si>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</si>
  <si>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</si>
  <si>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</si>
  <si>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</si>
  <si>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</si>
  <si>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</si>
  <si>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</si>
  <si>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</si>
  <si>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</si>
  <si>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</si>
  <si>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</si>
  <si>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</si>
  <si>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</si>
  <si>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</si>
  <si>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</si>
  <si>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</si>
  <si>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</si>
  <si>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</si>
  <si>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</si>
  <si>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</si>
  <si>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</si>
  <si>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</si>
  <si>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</si>
  <si>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</si>
  <si>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</si>
  <si>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</si>
  <si>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</si>
  <si>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</si>
  <si>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</si>
  <si>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</si>
  <si>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</si>
  <si>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</si>
  <si>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</si>
  <si>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</si>
  <si>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</si>
  <si>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</si>
  <si>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</si>
  <si>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</si>
  <si>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</si>
  <si>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</si>
  <si>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</si>
  <si>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</si>
  <si>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</si>
  <si>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</si>
  <si>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</si>
  <si>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</si>
  <si>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</si>
  <si>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</si>
  <si>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</si>
  <si>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</si>
  <si>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</si>
  <si>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</si>
  <si>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</si>
  <si>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</si>
  <si>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</si>
  <si>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</si>
  <si>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</si>
  <si>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</si>
  <si>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</si>
  <si>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</si>
  <si>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</si>
  <si>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</si>
  <si>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</si>
  <si>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</si>
  <si>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</si>
  <si>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</si>
  <si>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</si>
  <si>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</si>
  <si>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</si>
  <si>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</si>
  <si>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</si>
  <si>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</si>
  <si>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</si>
  <si>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</si>
  <si>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</si>
  <si>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</si>
  <si>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</si>
  <si>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</si>
  <si>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</si>
  <si>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</si>
  <si>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</si>
  <si>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</si>
  <si>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</si>
  <si>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</si>
  <si>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</si>
  <si>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</si>
  <si>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</si>
  <si>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</si>
  <si>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</si>
  <si>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</si>
  <si>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</si>
  <si>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</si>
  <si>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</si>
  <si>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</si>
  <si>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</si>
  <si>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</si>
  <si>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</si>
  <si>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</si>
  <si>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</si>
  <si>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</si>
  <si>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</si>
  <si>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</si>
  <si>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</si>
  <si>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</si>
  <si>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</si>
  <si>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</si>
  <si>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</si>
  <si>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</si>
  <si>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</si>
  <si>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</si>
  <si>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</si>
  <si>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</si>
  <si>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</si>
  <si>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</si>
  <si>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</si>
  <si>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</si>
  <si>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</si>
  <si>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</si>
  <si>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</si>
  <si>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</si>
  <si>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</si>
  <si>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</si>
  <si>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</si>
  <si>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</si>
  <si>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</si>
  <si>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</si>
  <si>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</si>
  <si>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</si>
  <si>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</si>
  <si>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</si>
  <si>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</si>
  <si>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</si>
  <si>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</si>
  <si>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</si>
  <si>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</si>
  <si>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</si>
  <si>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</si>
  <si>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</si>
  <si>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</si>
  <si>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</si>
  <si>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</si>
  <si>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</si>
  <si>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</si>
  <si>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</si>
  <si>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</si>
  <si>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</si>
  <si>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</si>
  <si>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</si>
  <si>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</si>
  <si>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</si>
  <si>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</si>
  <si>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</si>
  <si>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</si>
  <si>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</si>
  <si>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</si>
  <si>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</si>
  <si>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</si>
  <si>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</si>
  <si>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</si>
  <si>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</si>
  <si>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</si>
  <si>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</si>
  <si>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</si>
  <si>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</si>
  <si>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</si>
  <si>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</si>
  <si>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</si>
  <si>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</si>
  <si>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</si>
  <si>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</si>
  <si>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</si>
  <si>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</si>
  <si>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</si>
  <si>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</si>
  <si>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</si>
  <si>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</si>
  <si>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</si>
  <si>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</si>
  <si>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</si>
  <si>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</si>
  <si>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</si>
  <si>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</si>
  <si>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</si>
  <si>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</si>
  <si>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</si>
  <si>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</si>
  <si>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</si>
  <si>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</si>
  <si>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</si>
  <si>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</si>
  <si>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</si>
  <si>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</si>
  <si>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</si>
  <si>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</si>
  <si>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</si>
  <si>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</si>
  <si>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</si>
  <si>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</si>
  <si>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</si>
  <si>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</si>
  <si>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</si>
  <si>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</si>
  <si>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</si>
  <si>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</si>
  <si>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</si>
  <si>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</si>
  <si>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</si>
  <si>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</si>
  <si>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</si>
  <si>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</si>
  <si>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</si>
  <si>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</si>
  <si>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</si>
  <si>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</si>
  <si>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</si>
  <si>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</si>
  <si>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</si>
  <si>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</si>
  <si>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</si>
  <si>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</si>
  <si>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</si>
  <si>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</si>
  <si>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</si>
  <si>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</si>
  <si>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</si>
  <si>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</si>
  <si>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</si>
  <si>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</si>
  <si>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</si>
  <si>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</si>
  <si>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</si>
  <si>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</si>
  <si>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</si>
  <si>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</si>
  <si>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</si>
  <si>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</si>
  <si>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</si>
  <si>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</si>
  <si>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</si>
  <si>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</si>
  <si>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</si>
  <si>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</si>
  <si>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</si>
  <si>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</si>
  <si>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</si>
  <si>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</si>
  <si>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</si>
  <si>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</si>
  <si>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</si>
  <si>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</si>
  <si>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</si>
  <si>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</si>
  <si>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</si>
  <si>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</si>
  <si>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</si>
  <si>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</si>
  <si>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</si>
  <si>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</si>
  <si>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</si>
  <si>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</si>
  <si>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</si>
  <si>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</si>
  <si>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</si>
  <si>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</si>
  <si>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</si>
  <si>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</si>
  <si>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</si>
  <si>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</si>
  <si>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</si>
  <si>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</si>
  <si>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</si>
  <si>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</si>
  <si>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</si>
  <si>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</si>
  <si>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</si>
  <si>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</si>
  <si>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</si>
  <si>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</si>
  <si>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</si>
  <si>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</si>
  <si>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</si>
  <si>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</si>
  <si>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</si>
  <si>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</si>
  <si>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</si>
  <si>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</si>
  <si>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</si>
  <si>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</si>
  <si>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</si>
  <si>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</si>
  <si>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</si>
  <si>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</si>
  <si>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</si>
  <si>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</si>
  <si>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</si>
  <si>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</si>
  <si>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</si>
  <si>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</si>
  <si>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</si>
  <si>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</si>
  <si>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</si>
  <si>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</si>
  <si>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</si>
  <si>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</si>
  <si>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</si>
  <si>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</si>
  <si>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</si>
  <si>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</si>
  <si>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</si>
  <si>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</si>
  <si>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</si>
  <si>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</si>
  <si>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</si>
  <si>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</si>
  <si>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</si>
  <si>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</si>
  <si>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</si>
  <si>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</si>
  <si>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</si>
  <si>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</si>
  <si>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</si>
  <si>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</si>
  <si>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</si>
  <si>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</si>
  <si>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</si>
  <si>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</si>
  <si>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</si>
  <si>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</si>
  <si>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</si>
  <si>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</si>
  <si>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</si>
  <si>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</si>
  <si>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</si>
  <si>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</si>
  <si>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</si>
  <si>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</si>
  <si>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</si>
  <si>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</si>
  <si>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</si>
  <si>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</si>
  <si>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</si>
  <si>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</si>
  <si>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</si>
  <si>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</si>
  <si>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</si>
  <si>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</si>
  <si>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</si>
  <si>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</si>
  <si>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</si>
  <si>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</si>
  <si>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</si>
  <si>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</si>
  <si>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</si>
  <si>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</si>
  <si>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</si>
  <si>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</si>
  <si>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</si>
  <si>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</si>
  <si>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</si>
  <si>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</si>
  <si>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</si>
  <si>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</si>
  <si>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</si>
  <si>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</si>
  <si>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</si>
  <si>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</si>
  <si>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</si>
  <si>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</si>
  <si>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</si>
  <si>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</si>
  <si>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</si>
  <si>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</si>
  <si>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</si>
  <si>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</si>
  <si>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</si>
  <si>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</si>
  <si>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</si>
  <si>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</si>
  <si>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</si>
  <si>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</si>
  <si>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</si>
  <si>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</si>
  <si>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</si>
  <si>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</si>
  <si>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</si>
  <si>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</si>
  <si>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</si>
  <si>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</si>
  <si>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</si>
  <si>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</si>
  <si>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</si>
  <si>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</si>
  <si>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</si>
  <si>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</si>
  <si>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</si>
  <si>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</si>
  <si>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</si>
  <si>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</si>
  <si>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</si>
  <si>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</si>
  <si>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</si>
  <si>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</si>
  <si>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</si>
  <si>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</si>
  <si>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</si>
  <si>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</si>
  <si>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</si>
  <si>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</si>
  <si>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</si>
  <si>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</si>
  <si>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</si>
  <si>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</si>
  <si>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</si>
  <si>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</si>
  <si>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</si>
  <si>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</si>
  <si>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</si>
  <si>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</si>
  <si>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</si>
  <si>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</si>
  <si>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</si>
  <si>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</si>
  <si>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</si>
  <si>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</si>
  <si>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</si>
  <si>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</si>
  <si>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</si>
  <si>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</si>
  <si>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</si>
  <si>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</si>
  <si>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</si>
  <si>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</si>
  <si>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</si>
  <si>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</si>
  <si>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</si>
  <si>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</si>
  <si>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</si>
  <si>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</si>
  <si>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</si>
  <si>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</si>
  <si>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</si>
  <si>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</si>
  <si>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</si>
  <si>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</si>
  <si>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</si>
  <si>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</si>
  <si>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</si>
  <si>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</si>
  <si>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</si>
  <si>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</si>
  <si>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</si>
  <si>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</si>
  <si>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</si>
  <si>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</si>
  <si>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</si>
  <si>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</si>
  <si>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</si>
  <si>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</si>
  <si>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</si>
  <si>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</si>
  <si>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</si>
  <si>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</si>
  <si>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</si>
  <si>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</si>
  <si>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</si>
  <si>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</si>
  <si>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</si>
  <si>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</si>
  <si>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</si>
  <si>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</si>
  <si>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</si>
  <si>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</si>
  <si>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</si>
  <si>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</si>
  <si>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</si>
  <si>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</si>
  <si>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</si>
  <si>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</si>
  <si>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</si>
  <si>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</si>
  <si>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</si>
  <si>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</si>
  <si>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</si>
  <si>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</si>
  <si>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</si>
  <si>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</si>
  <si>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</si>
  <si>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</si>
  <si>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</si>
  <si>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</si>
  <si>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</si>
  <si>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</si>
  <si>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</si>
  <si>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</si>
  <si>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</si>
  <si>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</si>
  <si>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</si>
  <si>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</si>
  <si>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</si>
  <si>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</si>
  <si>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</si>
  <si>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</si>
  <si>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</si>
  <si>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</si>
  <si>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</si>
  <si>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</si>
  <si>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</si>
  <si>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</si>
  <si>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</si>
  <si>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</si>
  <si>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</si>
  <si>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</si>
  <si>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</si>
  <si>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</si>
  <si>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</si>
  <si>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</si>
  <si>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</si>
  <si>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</si>
  <si>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</si>
  <si>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</si>
  <si>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</si>
  <si>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</si>
  <si>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</si>
  <si>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</si>
  <si>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</si>
  <si>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</si>
  <si>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</si>
  <si>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</si>
  <si>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</si>
  <si>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</si>
  <si>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</si>
  <si>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</si>
  <si>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</si>
  <si>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</si>
  <si>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</si>
  <si>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</si>
  <si>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</si>
  <si>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</si>
  <si>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</si>
  <si>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</si>
  <si>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</si>
  <si>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</si>
  <si>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</si>
  <si>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</si>
  <si>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</si>
  <si>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</si>
  <si>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</si>
  <si>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</si>
  <si>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</si>
  <si>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</si>
  <si>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</si>
  <si>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</si>
  <si>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</si>
  <si>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</si>
  <si>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</si>
  <si>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</si>
  <si>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</si>
  <si>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</si>
  <si>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</si>
  <si>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</si>
  <si>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</si>
  <si>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</si>
  <si>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</si>
  <si>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</si>
  <si>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</si>
  <si>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</si>
  <si>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</si>
  <si>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</si>
  <si>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</si>
  <si>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</si>
  <si>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</si>
  <si>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</si>
  <si>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</si>
  <si>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</si>
  <si>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</si>
  <si>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</si>
  <si>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</si>
  <si>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</si>
  <si>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</si>
  <si>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</si>
  <si>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</si>
  <si>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</si>
  <si>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</si>
  <si>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</si>
  <si>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</si>
  <si>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</si>
  <si>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</si>
  <si>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</si>
  <si>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</si>
  <si>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</si>
  <si>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</si>
  <si>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</si>
  <si>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</si>
  <si>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</si>
  <si>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</si>
  <si>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</si>
  <si>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</si>
  <si>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</si>
  <si>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</si>
  <si>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</si>
  <si>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</si>
  <si>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</si>
  <si>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</si>
  <si>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</si>
  <si>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</si>
  <si>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</si>
  <si>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</si>
  <si>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</si>
  <si>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</si>
  <si>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</si>
  <si>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</si>
  <si>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</si>
  <si>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</si>
  <si>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</si>
  <si>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</si>
  <si>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</si>
  <si>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</si>
  <si>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</si>
  <si>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</si>
  <si>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</si>
  <si>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</si>
  <si>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</si>
  <si>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</si>
  <si>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</si>
  <si>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</si>
  <si>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</si>
  <si>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</si>
  <si>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</si>
  <si>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</si>
  <si>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</si>
  <si>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</si>
  <si>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</si>
  <si>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</si>
  <si>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</si>
  <si>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</si>
  <si>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</si>
  <si>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</si>
  <si>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</si>
  <si>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</si>
  <si>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</si>
  <si>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</si>
  <si>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</si>
  <si>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</si>
  <si>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</si>
  <si>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</si>
  <si>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</si>
  <si>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</si>
  <si>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</si>
  <si>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</si>
  <si>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</si>
  <si>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</si>
  <si>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</si>
  <si>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</si>
  <si>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</si>
  <si>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</si>
  <si>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</si>
  <si>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</si>
  <si>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</si>
  <si>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</si>
  <si>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</si>
  <si>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</si>
  <si>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</si>
  <si>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</si>
  <si>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</si>
  <si>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</si>
  <si>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</si>
  <si>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</si>
  <si>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</si>
  <si>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</si>
  <si>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</si>
  <si>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</si>
  <si>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</si>
  <si>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</si>
  <si>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</si>
  <si>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</si>
  <si>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</si>
  <si>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</si>
  <si>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</si>
  <si>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</si>
  <si>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</si>
  <si>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</si>
  <si>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</si>
  <si>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</si>
  <si>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</si>
  <si>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</si>
  <si>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</si>
  <si>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</si>
  <si>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</si>
  <si>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</si>
  <si>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</si>
  <si>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</si>
  <si>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</si>
  <si>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</si>
  <si>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</si>
  <si>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</si>
  <si>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</si>
  <si>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</si>
  <si>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</si>
  <si>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</si>
  <si>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</si>
  <si>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</si>
  <si>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</si>
  <si>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</si>
  <si>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</si>
  <si>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</si>
  <si>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</si>
  <si>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</si>
  <si>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</si>
  <si>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</si>
  <si>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</si>
  <si>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</si>
  <si>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</si>
  <si>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</si>
  <si>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</si>
  <si>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</si>
  <si>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</si>
  <si>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</si>
  <si>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</si>
  <si>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</si>
  <si>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</si>
  <si>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</si>
  <si>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</si>
  <si>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</si>
  <si>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</si>
  <si>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</si>
  <si>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</si>
  <si>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</si>
  <si>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</si>
  <si>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</si>
  <si>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</si>
  <si>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</si>
  <si>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</si>
  <si>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</si>
  <si>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</si>
  <si>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</si>
  <si>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</si>
  <si>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</si>
  <si>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</si>
  <si>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</si>
  <si>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</si>
  <si>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</si>
  <si>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</si>
  <si>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</si>
  <si>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</si>
  <si>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</si>
  <si>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</si>
  <si>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</si>
  <si>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</si>
  <si>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</si>
  <si>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</si>
  <si>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</si>
  <si>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</si>
  <si>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</si>
  <si>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</si>
  <si>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</si>
  <si>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</si>
  <si>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</si>
  <si>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</si>
  <si>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</si>
  <si>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</si>
  <si>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</si>
  <si>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</si>
  <si>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</si>
  <si>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</si>
  <si>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</si>
  <si>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</si>
  <si>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</si>
  <si>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</si>
  <si>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</si>
  <si>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</si>
  <si>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</si>
  <si>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</si>
  <si>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</si>
  <si>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</si>
  <si>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</si>
  <si>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</si>
  <si>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</si>
  <si>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</si>
  <si>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</si>
  <si>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</si>
  <si>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</si>
  <si>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</si>
  <si>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</si>
  <si>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</si>
  <si>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</si>
  <si>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</si>
  <si>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</si>
  <si>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</si>
  <si>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</si>
  <si>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</si>
  <si>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</si>
  <si>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</si>
  <si>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</si>
  <si>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</si>
  <si>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</si>
  <si>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</si>
  <si>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</si>
  <si>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</si>
  <si>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</si>
  <si>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</si>
  <si>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</si>
  <si>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</si>
  <si>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</si>
  <si>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</si>
  <si>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</si>
  <si>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</si>
  <si>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</si>
  <si>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</si>
  <si>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</si>
  <si>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</si>
  <si>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</si>
  <si>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</si>
  <si>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</si>
  <si>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</si>
  <si>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</si>
  <si>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</si>
  <si>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</si>
  <si>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</si>
  <si>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</si>
  <si>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</si>
  <si>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</si>
  <si>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</si>
  <si>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</si>
  <si>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</si>
  <si>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</si>
  <si>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</si>
  <si>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</si>
  <si>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</si>
  <si>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</si>
  <si>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</si>
  <si>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</si>
  <si>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</si>
  <si>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</si>
  <si>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</si>
  <si>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</si>
  <si>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</si>
  <si>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</si>
  <si>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</si>
  <si>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</si>
  <si>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</si>
  <si>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</si>
  <si>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</si>
  <si>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</si>
  <si>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</si>
  <si>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</si>
  <si>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</si>
  <si>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</si>
  <si>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</si>
  <si>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</si>
  <si>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</si>
  <si>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</si>
  <si>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</si>
  <si>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</si>
  <si>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</si>
  <si>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</si>
  <si>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</si>
  <si>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</si>
  <si>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</si>
  <si>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</si>
  <si>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</si>
  <si>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</si>
  <si>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</si>
  <si>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</si>
  <si>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</si>
  <si>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</si>
  <si>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</si>
  <si>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</si>
  <si>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</si>
  <si>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</si>
  <si>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</si>
  <si>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</si>
  <si>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</si>
  <si>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</si>
  <si>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</si>
  <si>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</si>
  <si>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</si>
  <si>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</si>
  <si>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</si>
  <si>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</si>
  <si>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</si>
  <si>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</si>
  <si>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</si>
  <si>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</si>
  <si>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</si>
  <si>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</si>
  <si>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</si>
  <si>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</si>
  <si>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</si>
  <si>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</si>
  <si>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</si>
  <si>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</si>
  <si>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</si>
  <si>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</si>
  <si>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</si>
  <si>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</si>
  <si>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</si>
  <si>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</si>
  <si>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</si>
  <si>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</si>
  <si>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</si>
  <si>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</si>
  <si>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</si>
  <si>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</si>
  <si>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</si>
  <si>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</si>
  <si>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</si>
  <si>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</si>
  <si>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</si>
  <si>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</si>
  <si>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</si>
  <si>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</si>
  <si>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</si>
  <si>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</si>
  <si>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</si>
  <si>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</si>
  <si>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</si>
  <si>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</si>
  <si>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</si>
  <si>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</si>
  <si>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</si>
  <si>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</si>
  <si>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</si>
  <si>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</si>
  <si>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</si>
  <si>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</si>
  <si>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</si>
  <si>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</si>
  <si>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</si>
  <si>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</si>
  <si>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</si>
  <si>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</si>
  <si>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</si>
  <si>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</si>
  <si>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</si>
  <si>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</si>
  <si>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</si>
  <si>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</si>
  <si>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</si>
  <si>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</si>
  <si>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</si>
  <si>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</si>
  <si>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</si>
  <si>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</si>
  <si>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</si>
  <si>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</si>
  <si>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</si>
  <si>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</si>
  <si>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</si>
  <si>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</si>
  <si>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</si>
  <si>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</si>
  <si>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</si>
  <si>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</si>
  <si>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</si>
  <si>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</si>
  <si>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</si>
  <si>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</si>
  <si>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</si>
  <si>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</si>
  <si>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</si>
  <si>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</si>
  <si>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</si>
  <si>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</si>
  <si>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</si>
  <si>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</si>
  <si>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</si>
  <si>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</si>
  <si>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</si>
  <si>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</si>
  <si>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</si>
  <si>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</si>
  <si>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</si>
  <si>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</si>
  <si>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</si>
  <si>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</si>
  <si>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</si>
  <si>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</si>
  <si>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</si>
  <si>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</si>
  <si>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</si>
  <si>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</si>
  <si>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</si>
  <si>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</si>
  <si>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</si>
  <si>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</si>
  <si>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</si>
  <si>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</si>
  <si>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</si>
  <si>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</si>
  <si>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</si>
  <si>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</si>
  <si>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</si>
  <si>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</si>
  <si>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</si>
  <si>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</si>
  <si>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</si>
  <si>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</si>
  <si>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</si>
  <si>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</si>
  <si>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</si>
  <si>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</si>
  <si>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</si>
  <si>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</si>
  <si>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</si>
  <si>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</si>
  <si>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</si>
  <si>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</si>
  <si>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</si>
  <si>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</si>
  <si>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</si>
  <si>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</si>
  <si>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</si>
  <si>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</si>
  <si>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</si>
  <si>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</si>
  <si>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</si>
  <si>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</si>
  <si>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</si>
  <si>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</si>
  <si>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</si>
  <si>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</si>
  <si>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</si>
  <si>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</si>
  <si>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</si>
  <si>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</si>
  <si>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</si>
  <si>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</si>
  <si>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</si>
  <si>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</si>
  <si>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</si>
  <si>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</si>
  <si>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</si>
  <si>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</si>
  <si>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</si>
  <si>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</si>
  <si>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</si>
  <si>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</si>
  <si>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</si>
  <si>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</si>
  <si>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</si>
  <si>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</si>
  <si>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</si>
  <si>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</si>
  <si>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</si>
  <si>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</si>
  <si>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</si>
  <si>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</si>
  <si>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</si>
  <si>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</si>
  <si>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</si>
  <si>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</si>
  <si>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</si>
  <si>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</si>
  <si>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</si>
  <si>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</si>
  <si>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</si>
  <si>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</si>
  <si>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</si>
  <si>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</si>
  <si>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</si>
  <si>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</si>
  <si>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</si>
  <si>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</si>
  <si>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</si>
  <si>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</si>
  <si>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</si>
  <si>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</si>
  <si>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</si>
  <si>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</si>
  <si>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</si>
  <si>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</si>
  <si>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</si>
  <si>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</si>
  <si>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</si>
  <si>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</si>
  <si>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</si>
  <si>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</si>
  <si>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</si>
  <si>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</si>
  <si>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</si>
  <si>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</si>
  <si>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</si>
  <si>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</si>
  <si>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</si>
  <si>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</si>
  <si>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</si>
  <si>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</si>
  <si>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</si>
  <si>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</si>
  <si>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</si>
  <si>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</si>
  <si>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</si>
  <si>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</si>
  <si>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</si>
  <si>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</si>
  <si>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</si>
  <si>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</si>
  <si>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</si>
  <si>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</si>
  <si>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</si>
  <si>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</si>
  <si>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</si>
  <si>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</si>
  <si>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</si>
  <si>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</si>
  <si>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</si>
  <si>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</si>
  <si>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</si>
  <si>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</si>
  <si>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</si>
  <si>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</si>
  <si>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</si>
  <si>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</si>
  <si>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</si>
  <si>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</si>
  <si>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</si>
  <si>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</si>
  <si>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</si>
  <si>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</si>
  <si>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</si>
  <si>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</si>
  <si>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</si>
  <si>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</si>
  <si>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</si>
  <si>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</si>
  <si>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</si>
  <si>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</si>
  <si>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</si>
  <si>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</si>
  <si>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</si>
  <si>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</si>
  <si>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</si>
  <si>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</si>
  <si>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</si>
  <si>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</si>
  <si>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</si>
  <si>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</si>
  <si>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</si>
  <si>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</si>
  <si>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</si>
  <si>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</si>
  <si>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</si>
  <si>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</si>
  <si>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</si>
  <si>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</si>
  <si>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</si>
  <si>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</si>
  <si>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</si>
  <si>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</si>
  <si>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</si>
  <si>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</si>
  <si>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</si>
  <si>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</si>
  <si>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</si>
  <si>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</si>
  <si>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</si>
  <si>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</si>
  <si>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</si>
  <si>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</si>
  <si>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</si>
  <si>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</si>
  <si>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</si>
  <si>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</si>
  <si>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</si>
  <si>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</si>
  <si>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</si>
  <si>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</si>
  <si>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</si>
  <si>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</si>
  <si>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</si>
  <si>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</si>
  <si>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</si>
  <si>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</si>
  <si>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</si>
  <si>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</si>
  <si>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</si>
  <si>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</si>
  <si>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</si>
  <si>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</si>
  <si>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</si>
  <si>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</si>
  <si>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</si>
  <si>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</si>
  <si>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</si>
  <si>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</si>
  <si>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</si>
  <si>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</si>
  <si>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</si>
  <si>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</si>
  <si>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</si>
  <si>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</si>
  <si>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</si>
  <si>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</si>
  <si>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</si>
  <si>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</si>
  <si>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</si>
  <si>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</si>
  <si>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</si>
  <si>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</si>
  <si>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</si>
  <si>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</si>
  <si>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</si>
  <si>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</si>
  <si>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</si>
  <si>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</si>
  <si>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</si>
  <si>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</si>
  <si>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</si>
  <si>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</si>
  <si>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</si>
  <si>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</si>
  <si>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</si>
  <si>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</si>
  <si>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</si>
  <si>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</si>
  <si>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</si>
  <si>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</si>
  <si>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</si>
  <si>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</si>
  <si>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</si>
  <si>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</si>
  <si>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</si>
  <si>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</si>
  <si>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</si>
  <si>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</si>
  <si>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</si>
  <si>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</si>
  <si>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</si>
  <si>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</si>
  <si>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</si>
  <si>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</si>
  <si>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</si>
  <si>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</si>
  <si>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</si>
  <si>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</si>
  <si>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</si>
  <si>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</si>
  <si>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</si>
  <si>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</si>
  <si>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</si>
  <si>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</si>
  <si>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</si>
  <si>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</si>
  <si>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</si>
  <si>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</si>
  <si>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</si>
  <si>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</si>
  <si>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</si>
  <si>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</si>
  <si>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</si>
  <si>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</si>
  <si>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</si>
  <si>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</si>
  <si>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</si>
  <si>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</si>
  <si>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</si>
  <si>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</si>
  <si>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</si>
  <si>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</si>
  <si>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</si>
  <si>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</si>
  <si>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</si>
  <si>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</si>
  <si>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</si>
  <si>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</si>
  <si>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</si>
  <si>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</si>
  <si>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</si>
  <si>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</si>
  <si>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</si>
  <si>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</si>
  <si>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</si>
  <si>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</si>
  <si>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</si>
  <si>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</si>
  <si>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</si>
  <si>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</si>
  <si>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</si>
  <si>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</si>
  <si>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</si>
  <si>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</si>
  <si>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</si>
  <si>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</si>
  <si>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</si>
  <si>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</si>
  <si>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</si>
  <si>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</si>
  <si>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</si>
  <si>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</si>
  <si>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</si>
  <si>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</si>
  <si>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</si>
  <si>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</si>
  <si>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</si>
  <si>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</si>
  <si>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</si>
  <si>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</si>
  <si>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</si>
  <si>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</si>
  <si>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</si>
  <si>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</si>
  <si>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</si>
  <si>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</si>
  <si>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</si>
  <si>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</si>
  <si>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</si>
  <si>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</si>
  <si>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</si>
  <si>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</si>
  <si>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</si>
  <si>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</si>
  <si>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</si>
  <si>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</si>
  <si>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</si>
  <si>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</si>
  <si>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</si>
  <si>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</si>
  <si>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</si>
  <si>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</si>
  <si>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</si>
  <si>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</si>
  <si>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</si>
  <si>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</si>
  <si>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</si>
  <si>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</si>
  <si>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</si>
  <si>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</si>
  <si>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</si>
  <si>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</si>
  <si>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</si>
  <si>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</si>
  <si>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</si>
  <si>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</si>
  <si>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</si>
  <si>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</si>
  <si>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</si>
  <si>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</si>
  <si>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</si>
  <si>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</si>
  <si>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</si>
  <si>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</si>
  <si>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</si>
  <si>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</si>
  <si>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</si>
  <si>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</si>
  <si>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</si>
  <si>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</si>
  <si>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</si>
  <si>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</si>
  <si>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</si>
  <si>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</si>
  <si>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</si>
  <si>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</si>
  <si>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</si>
  <si>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</si>
  <si>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</si>
  <si>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</si>
  <si>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</si>
  <si>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</si>
  <si>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</si>
  <si>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</si>
  <si>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</si>
  <si>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</si>
  <si>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</si>
  <si>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</si>
  <si>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</si>
  <si>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</si>
  <si>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</si>
  <si>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</si>
  <si>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</si>
  <si>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</si>
  <si>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</si>
  <si>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</si>
  <si>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</si>
  <si>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</si>
  <si>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</si>
  <si>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</si>
  <si>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</si>
  <si>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</si>
  <si>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</si>
  <si>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</si>
  <si>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</si>
  <si>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</si>
  <si>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</si>
  <si>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</si>
  <si>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</si>
  <si>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</si>
  <si>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</si>
  <si>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</si>
  <si>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</si>
  <si>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</si>
  <si>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</si>
  <si>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</si>
  <si>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</si>
  <si>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</si>
  <si>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</si>
  <si>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</si>
  <si>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</si>
  <si>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</si>
  <si>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</si>
  <si>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</si>
  <si>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</si>
  <si>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</si>
  <si>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</si>
  <si>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</si>
  <si>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</si>
  <si>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</si>
  <si>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</si>
  <si>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</si>
  <si>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</si>
  <si>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</si>
  <si>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</si>
  <si>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</si>
  <si>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</si>
  <si>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</si>
  <si>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</si>
  <si>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</si>
  <si>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</si>
  <si>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</si>
  <si>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</si>
  <si>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</si>
  <si>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</si>
  <si>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</si>
  <si>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</si>
  <si>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</si>
  <si>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</si>
  <si>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</si>
  <si>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</si>
  <si>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</si>
  <si>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</si>
  <si>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</si>
  <si>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</si>
  <si>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</si>
  <si>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</si>
  <si>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</si>
  <si>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</si>
  <si>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</si>
  <si>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</si>
  <si>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</si>
  <si>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</si>
  <si>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</si>
  <si>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</si>
  <si>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</si>
  <si>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</si>
  <si>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</si>
  <si>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</si>
  <si>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</si>
  <si>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</si>
  <si>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</si>
  <si>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</si>
  <si>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</si>
  <si>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</si>
  <si>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</si>
  <si>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</si>
  <si>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</si>
  <si>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</si>
  <si>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</si>
  <si>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</si>
  <si>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</si>
  <si>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</si>
  <si>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</si>
  <si>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</si>
  <si>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</si>
  <si>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</si>
  <si>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</si>
  <si>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</si>
  <si>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</si>
  <si>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</si>
  <si>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</si>
  <si>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</si>
  <si>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</si>
  <si>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</si>
  <si>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</si>
  <si>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</si>
  <si>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</si>
  <si>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</si>
  <si>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</si>
  <si>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</si>
  <si>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</si>
  <si>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</si>
  <si>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</si>
  <si>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</si>
  <si>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</si>
  <si>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</si>
  <si>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</si>
  <si>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</si>
  <si>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</si>
  <si>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</si>
  <si>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</si>
  <si>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</si>
  <si>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</si>
  <si>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</si>
  <si>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</si>
  <si>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</si>
  <si>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</si>
  <si>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</si>
  <si>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</si>
  <si>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</si>
  <si>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</si>
  <si>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</si>
  <si>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</si>
  <si>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</si>
  <si>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</si>
  <si>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</si>
  <si>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</si>
  <si>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</si>
  <si>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</si>
  <si>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</si>
  <si>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</si>
  <si>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</si>
  <si>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</si>
  <si>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</si>
  <si>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</si>
  <si>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</si>
  <si>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</si>
  <si>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</si>
  <si>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</si>
  <si>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</si>
  <si>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</si>
  <si>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</si>
  <si>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</si>
  <si>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</si>
  <si>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</si>
  <si>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</si>
  <si>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</si>
  <si>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</si>
  <si>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</si>
  <si>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</si>
  <si>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</si>
  <si>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</si>
  <si>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</si>
  <si>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</si>
  <si>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</si>
  <si>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</si>
  <si>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</si>
  <si>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</si>
  <si>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</si>
  <si>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</si>
  <si>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</si>
  <si>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</si>
  <si>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</si>
  <si>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</si>
  <si>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</si>
  <si>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</si>
  <si>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</si>
  <si>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</si>
  <si>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</si>
  <si>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</si>
  <si>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</si>
  <si>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</si>
  <si>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</si>
  <si>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</si>
  <si>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</si>
  <si>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</si>
  <si>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</si>
  <si>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</si>
  <si>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</si>
  <si>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</si>
  <si>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</si>
  <si>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</si>
  <si>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</si>
  <si>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</si>
  <si>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</si>
  <si>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</si>
  <si>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</si>
  <si>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</si>
  <si>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</si>
  <si>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</si>
  <si>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</si>
  <si>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</si>
  <si>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</si>
  <si>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</si>
  <si>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</si>
  <si>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</si>
  <si>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</si>
  <si>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</si>
  <si>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</si>
  <si>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</si>
  <si>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</si>
  <si>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</si>
  <si>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</si>
  <si>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</si>
  <si>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</si>
  <si>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</si>
  <si>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</si>
  <si>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</si>
  <si>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</si>
  <si>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</si>
  <si>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</si>
  <si>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</si>
  <si>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</si>
  <si>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</si>
  <si>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</si>
  <si>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</si>
  <si>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</si>
  <si>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</si>
  <si>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</si>
  <si>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</si>
  <si>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</si>
  <si>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</si>
  <si>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</si>
  <si>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</si>
  <si>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</si>
  <si>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</si>
  <si>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</si>
  <si>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</si>
  <si>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</si>
  <si>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</si>
  <si>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</si>
  <si>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</si>
  <si>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</si>
  <si>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</si>
  <si>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</si>
  <si>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</si>
  <si>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</si>
  <si>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</si>
  <si>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</si>
  <si>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</si>
  <si>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</si>
  <si>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</si>
  <si>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</si>
  <si>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</si>
  <si>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</si>
  <si>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</si>
  <si>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</si>
  <si>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</si>
  <si>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</si>
  <si>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</si>
  <si>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</si>
  <si>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</si>
  <si>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</si>
  <si>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</si>
  <si>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</si>
  <si>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</si>
  <si>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</si>
  <si>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</si>
  <si>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</si>
  <si>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</si>
  <si>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</si>
  <si>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</si>
  <si>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</si>
  <si>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</si>
  <si>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</si>
  <si>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</si>
  <si>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</si>
  <si>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</si>
  <si>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</si>
  <si>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</si>
  <si>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</si>
  <si>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</si>
  <si>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</si>
  <si>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</si>
  <si>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</si>
  <si>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</si>
  <si>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</si>
  <si>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</si>
  <si>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</si>
  <si>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</si>
  <si>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</si>
  <si>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</si>
  <si>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</si>
  <si>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</si>
  <si>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</si>
  <si>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</si>
  <si>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</si>
  <si>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</si>
  <si>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</si>
  <si>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</si>
  <si>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</si>
  <si>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</si>
  <si>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</si>
  <si>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</si>
  <si>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</si>
  <si>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</si>
  <si>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</si>
  <si>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</si>
  <si>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</si>
  <si>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</si>
  <si>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</si>
  <si>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</si>
  <si>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</si>
  <si>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</si>
  <si>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</si>
  <si>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</si>
  <si>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</si>
  <si>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</si>
  <si>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</si>
  <si>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</si>
  <si>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</si>
  <si>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</si>
  <si>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</si>
  <si>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</si>
  <si>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</si>
  <si>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</si>
  <si>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</si>
  <si>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</si>
  <si>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</si>
  <si>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</si>
  <si>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</si>
  <si>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</si>
  <si>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</si>
  <si>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</si>
  <si>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</si>
  <si>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</si>
  <si>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</si>
  <si>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</si>
  <si>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</si>
  <si>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</si>
  <si>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</si>
  <si>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</si>
  <si>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</si>
  <si>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</si>
  <si>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</si>
  <si>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</si>
  <si>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</si>
  <si>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</si>
  <si>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</si>
  <si>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</si>
  <si>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</si>
  <si>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</si>
  <si>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</si>
  <si>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</si>
  <si>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</si>
  <si>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</si>
  <si>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</si>
  <si>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</si>
  <si>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</si>
  <si>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</si>
  <si>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</si>
  <si>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</si>
  <si>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</si>
  <si>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</si>
  <si>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</si>
  <si>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</si>
  <si>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</si>
  <si>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</si>
  <si>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</si>
  <si>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</si>
  <si>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</si>
  <si>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</si>
  <si>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</si>
  <si>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</si>
  <si>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</si>
  <si>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</si>
  <si>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</si>
  <si>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</si>
  <si>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</si>
  <si>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</si>
  <si>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</si>
  <si>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</si>
  <si>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</si>
  <si>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</si>
  <si>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</si>
  <si>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</si>
  <si>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</si>
  <si>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</si>
  <si>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</si>
  <si>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</si>
  <si>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</si>
  <si>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</si>
  <si>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</si>
  <si>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</si>
  <si>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</si>
  <si>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</si>
  <si>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</si>
  <si>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</si>
  <si>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</si>
  <si>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</si>
  <si>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</si>
  <si>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</si>
  <si>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</si>
  <si>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</si>
  <si>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</si>
  <si>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</si>
  <si>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</si>
  <si>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</si>
  <si>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</si>
  <si>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</si>
  <si>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</si>
  <si>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</si>
  <si>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</si>
  <si>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</si>
  <si>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</si>
  <si>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</si>
  <si>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</si>
  <si>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</si>
  <si>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</si>
  <si>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</si>
  <si>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</si>
  <si>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</si>
  <si>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</si>
  <si>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</si>
  <si>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</si>
  <si>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</si>
  <si>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</si>
  <si>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</si>
  <si>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</si>
  <si>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</si>
  <si>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</si>
  <si>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</si>
  <si>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</si>
  <si>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</si>
  <si>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</si>
  <si>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</si>
  <si>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</si>
  <si>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</si>
  <si>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</si>
  <si>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</si>
  <si>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</si>
  <si>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</si>
  <si>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</si>
  <si>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</si>
  <si>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</si>
  <si>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</si>
  <si>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</si>
  <si>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</si>
  <si>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</si>
  <si>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</si>
  <si>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</si>
  <si>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</si>
  <si>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</si>
  <si>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</si>
  <si>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</si>
  <si>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</si>
  <si>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</si>
  <si>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</si>
  <si>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</si>
  <si>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</si>
  <si>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</si>
  <si>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</si>
  <si>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</si>
  <si>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</si>
  <si>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</si>
  <si>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</si>
  <si>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</si>
  <si>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</si>
  <si>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</si>
  <si>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</si>
  <si>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</si>
  <si>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</si>
  <si>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</si>
  <si>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</si>
  <si>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</si>
  <si>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</si>
  <si>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</si>
  <si>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</si>
  <si>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</si>
  <si>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</si>
  <si>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</si>
  <si>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</si>
  <si>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</si>
  <si>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</si>
  <si>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</si>
  <si>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</si>
  <si>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</si>
  <si>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</si>
  <si>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</si>
  <si>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</si>
  <si>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</si>
  <si>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</si>
  <si>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</si>
  <si>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</si>
  <si>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</si>
  <si>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</si>
  <si>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</si>
  <si>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</si>
  <si>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</si>
  <si>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</si>
  <si>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</si>
  <si>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</si>
  <si>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</si>
  <si>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</si>
  <si>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</si>
  <si>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</si>
  <si>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</si>
  <si>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</si>
  <si>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</si>
  <si>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</si>
  <si>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</si>
  <si>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</si>
  <si>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</si>
  <si>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</si>
  <si>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</si>
  <si>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</si>
  <si>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</si>
  <si>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</si>
  <si>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</si>
  <si>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</si>
  <si>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</si>
  <si>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</si>
  <si>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</si>
  <si>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</si>
  <si>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</si>
  <si>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</si>
  <si>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</si>
  <si>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</si>
  <si>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</si>
  <si>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</si>
  <si>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</si>
  <si>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</si>
  <si>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</si>
  <si>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</si>
  <si>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</si>
  <si>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</si>
  <si>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</si>
  <si>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</si>
  <si>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</si>
  <si>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</si>
  <si>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</si>
  <si>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</si>
  <si>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</si>
  <si>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</si>
  <si>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</si>
  <si>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</si>
  <si>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</si>
  <si>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</si>
  <si>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</si>
  <si>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</si>
  <si>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</si>
  <si>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</si>
  <si>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</si>
  <si>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</si>
  <si>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</si>
  <si>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</si>
  <si>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</si>
  <si>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</si>
  <si>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</si>
  <si>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</si>
  <si>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</si>
  <si>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</si>
  <si>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</si>
  <si>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</si>
  <si>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</si>
  <si>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</si>
  <si>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</si>
  <si>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</si>
  <si>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</si>
  <si>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</si>
  <si>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</si>
  <si>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</si>
  <si>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</si>
  <si>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</si>
  <si>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</si>
  <si>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</si>
  <si>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</si>
  <si>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</si>
  <si>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</si>
  <si>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</si>
  <si>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</si>
  <si>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</si>
  <si>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</si>
  <si>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</si>
  <si>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</si>
  <si>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</si>
  <si>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</si>
  <si>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</si>
  <si>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</si>
  <si>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</si>
  <si>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</si>
  <si>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</si>
  <si>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</si>
  <si>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</si>
  <si>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</si>
  <si>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</si>
  <si>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</si>
  <si>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</si>
  <si>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</si>
  <si>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</si>
  <si>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</si>
  <si>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</si>
  <si>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</si>
  <si>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</si>
  <si>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</si>
  <si>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</si>
  <si>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</si>
  <si>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</si>
  <si>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</si>
  <si>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</si>
  <si>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</si>
  <si>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</si>
  <si>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</si>
  <si>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</si>
  <si>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</si>
  <si>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</si>
  <si>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</si>
  <si>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</si>
  <si>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</si>
  <si>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</si>
  <si>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</si>
  <si>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</si>
  <si>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</si>
  <si>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</si>
  <si>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</si>
  <si>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</si>
  <si>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</si>
  <si>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</si>
  <si>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</si>
  <si>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</si>
  <si>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</si>
  <si>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</si>
  <si>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</si>
  <si>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</si>
  <si>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</si>
  <si>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</si>
  <si>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</si>
  <si>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</si>
  <si>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</si>
  <si>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</si>
  <si>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</si>
  <si>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</si>
  <si>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</si>
  <si>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</si>
  <si>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</si>
  <si>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</si>
  <si>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</si>
  <si>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</si>
  <si>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</si>
  <si>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</si>
  <si>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</si>
  <si>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</si>
  <si>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</si>
  <si>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</si>
  <si>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</si>
  <si>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</si>
  <si>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</si>
  <si>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</si>
  <si>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</si>
  <si>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</si>
  <si>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</si>
  <si>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</si>
  <si>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</si>
  <si>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</si>
  <si>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</si>
  <si>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</si>
  <si>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</si>
  <si>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</si>
  <si>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</si>
  <si>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</si>
  <si>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</si>
  <si>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</si>
  <si>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</si>
  <si>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</si>
  <si>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</si>
  <si>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</si>
  <si>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</si>
  <si>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</si>
  <si>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</si>
  <si>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</si>
  <si>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</si>
  <si>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</si>
  <si>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</si>
  <si>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</si>
  <si>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</si>
  <si>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</si>
  <si>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</si>
  <si>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</si>
  <si>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</si>
  <si>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</si>
  <si>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</si>
  <si>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</si>
  <si>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</si>
  <si>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</si>
  <si>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</si>
  <si>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</si>
  <si>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</si>
  <si>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</si>
  <si>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</si>
  <si>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</si>
  <si>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</si>
  <si>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</si>
  <si>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</si>
  <si>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</si>
  <si>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</si>
  <si>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</si>
  <si>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</si>
  <si>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</si>
  <si>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</si>
  <si>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</si>
  <si>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</si>
  <si>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</si>
  <si>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</si>
  <si>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</si>
  <si>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</si>
  <si>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</si>
  <si>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</si>
  <si>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</si>
  <si>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</si>
  <si>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</si>
  <si>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</si>
  <si>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</si>
  <si>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</si>
  <si>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</si>
  <si>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Borden Village</t>
  </si>
  <si>
    <t>Timothy Elliott</t>
  </si>
  <si>
    <t>Community Housing Program Manager</t>
  </si>
  <si>
    <t>1200 W. 7th Street, 8th Floor</t>
  </si>
  <si>
    <t>timothy.elliott@lacity.org</t>
  </si>
  <si>
    <t>11070 Borden Avenue</t>
  </si>
  <si>
    <t>CA</t>
  </si>
  <si>
    <t>William Leach</t>
  </si>
  <si>
    <t>William@kingdomdevelopment.net</t>
  </si>
  <si>
    <t>Riverside, CA 92507</t>
  </si>
  <si>
    <t>Other (Specify below)</t>
  </si>
  <si>
    <t>Aaron Mensch</t>
  </si>
  <si>
    <t>aamensch@gmail.com</t>
  </si>
  <si>
    <t>Granada Hills</t>
  </si>
  <si>
    <t xml:space="preserve">Kingdom Development, Inc. </t>
  </si>
  <si>
    <t>Managing GP</t>
  </si>
  <si>
    <t>R2H Development LLC</t>
  </si>
  <si>
    <t>Kingdom AO, LLC</t>
  </si>
  <si>
    <t>Administrative GP</t>
  </si>
  <si>
    <t>Granada Hills, CA 91344</t>
  </si>
  <si>
    <t>Housing Authority of the City of Los Angeles</t>
  </si>
  <si>
    <t>Managing Member</t>
  </si>
  <si>
    <t xml:space="preserve">Aaron Mensch </t>
  </si>
  <si>
    <t>Van Nuys, CA 91406</t>
  </si>
  <si>
    <t>Gary Kleinman</t>
  </si>
  <si>
    <t>R2H Borden Village LLC</t>
  </si>
  <si>
    <t>Citi Community Capital</t>
  </si>
  <si>
    <t>Fixed</t>
  </si>
  <si>
    <t xml:space="preserve">R4 Capital </t>
  </si>
  <si>
    <t>16601 Ventura Blvd., Suite 200</t>
  </si>
  <si>
    <t>Encino</t>
  </si>
  <si>
    <t>Cory Bannister</t>
  </si>
  <si>
    <t xml:space="preserve">Equity, LIHTC Investor </t>
  </si>
  <si>
    <t>Electricity for A/C</t>
  </si>
  <si>
    <t>6747 Odessa Ave.</t>
  </si>
  <si>
    <t>gnldevelopmentinc@gmail.com</t>
  </si>
  <si>
    <t xml:space="preserve">GNL Development Inc. </t>
  </si>
  <si>
    <t>40%/60% Average Income</t>
  </si>
  <si>
    <t>RS-1-CUGU</t>
  </si>
  <si>
    <t>JZA Architecture</t>
  </si>
  <si>
    <t>4043 Irving Pl., Suite B</t>
  </si>
  <si>
    <t>Culver City, CA 90232</t>
  </si>
  <si>
    <t>jeff@jzarch.la</t>
  </si>
  <si>
    <t>Jeff Zbikowski</t>
  </si>
  <si>
    <t>Cbannister@r4cap.com</t>
  </si>
  <si>
    <t>895 Dove Street, Suite 450</t>
  </si>
  <si>
    <t>Newport Beach, CA 92660</t>
  </si>
  <si>
    <t>Newport Beach</t>
  </si>
  <si>
    <t>CalHFA</t>
  </si>
  <si>
    <t xml:space="preserve">Office Supplies, Postage, Expenses </t>
  </si>
  <si>
    <t xml:space="preserve">Payroll Tax and Benefits </t>
  </si>
  <si>
    <t xml:space="preserve">Fire Safety, Supplies, HVAC, Tools &amp; Appliances </t>
  </si>
  <si>
    <t>500 Capitol Mall, Ste. 1400</t>
  </si>
  <si>
    <t>Sacramento, CA 95814</t>
  </si>
  <si>
    <t>Kevin Brown</t>
  </si>
  <si>
    <t>877-922-5432</t>
  </si>
  <si>
    <t>kbrown@calhfa.ca.gov</t>
  </si>
  <si>
    <t>CAlHFA MIP</t>
  </si>
  <si>
    <t xml:space="preserve">VPM Management Inc. </t>
  </si>
  <si>
    <t>2355 Main Street, Suite 100</t>
  </si>
  <si>
    <t>Irvine, CA 92614</t>
  </si>
  <si>
    <t>Ryan Barker</t>
  </si>
  <si>
    <t>ryanbarker@vpm-mgmt.com</t>
  </si>
  <si>
    <t xml:space="preserve">Deferred Fee </t>
  </si>
  <si>
    <t>Kingdom AO, LLC (Kingdom Development, Inc.)</t>
  </si>
  <si>
    <t xml:space="preserve">Borden Village will meet all California Title 24 building standards.  </t>
  </si>
  <si>
    <t xml:space="preserve">Phase 1 </t>
  </si>
  <si>
    <t>Geo/Soils</t>
  </si>
  <si>
    <t xml:space="preserve">None identified per Phase 1 report. </t>
  </si>
  <si>
    <t xml:space="preserve">Closing </t>
  </si>
  <si>
    <t>C of O</t>
  </si>
  <si>
    <t xml:space="preserve">Conversion </t>
  </si>
  <si>
    <t>8609's</t>
  </si>
  <si>
    <t>Parking</t>
  </si>
  <si>
    <t xml:space="preserve">Consultant, Managing General Partner </t>
  </si>
  <si>
    <t>Jacob St. Onge</t>
  </si>
  <si>
    <t>TBD</t>
  </si>
  <si>
    <t>Bond Issuer Fees:</t>
  </si>
  <si>
    <t xml:space="preserve">Deferred </t>
  </si>
  <si>
    <t>YEAR 16</t>
  </si>
  <si>
    <t>YEAR 17</t>
  </si>
  <si>
    <t>YEAR 18</t>
  </si>
  <si>
    <t>YEAR 19</t>
  </si>
  <si>
    <t>YEAR 20</t>
  </si>
  <si>
    <t>YEAR 21</t>
  </si>
  <si>
    <t>YEAR 22</t>
  </si>
  <si>
    <t>YEAR 23</t>
  </si>
  <si>
    <t>YEAR 24</t>
  </si>
  <si>
    <t>YEAR 25</t>
  </si>
  <si>
    <t>YEAR 26</t>
  </si>
  <si>
    <t>YEAR 27</t>
  </si>
  <si>
    <t>YEAR 28</t>
  </si>
  <si>
    <t>YEAR 29</t>
  </si>
  <si>
    <t>YEAR 30</t>
  </si>
  <si>
    <t xml:space="preserve">Kinetic Valuation Group, Inc. </t>
  </si>
  <si>
    <t>PO Box 68</t>
  </si>
  <si>
    <t>Corona Del Mar, CA 92625</t>
  </si>
  <si>
    <t>Jay Wortmann</t>
  </si>
  <si>
    <t>jay@kvgteam.com</t>
  </si>
  <si>
    <t xml:space="preserve">Shall not exceed 60 feet in height </t>
  </si>
  <si>
    <t xml:space="preserve">Emerging Developer partnered with experienced nonprofit General
 Partner, Kingdom Development, Inc. </t>
  </si>
  <si>
    <t>Maria Medina</t>
  </si>
  <si>
    <t>President</t>
  </si>
  <si>
    <t>2532-015-012; 2532-015-031(portion)</t>
  </si>
  <si>
    <t>6451 Box Springs Blvd.</t>
  </si>
  <si>
    <t>mariaolivebranchcd@outlook.com</t>
  </si>
  <si>
    <t>12034 Nugent Dr</t>
  </si>
  <si>
    <t>Kingdom Development, Inc.</t>
  </si>
  <si>
    <t>5-story multi-family residential buidling</t>
  </si>
  <si>
    <t>R2H Development - Deferred Costs and Fees</t>
  </si>
  <si>
    <t>Above residual receipts line for cash flow</t>
  </si>
  <si>
    <t>Olive Branch Community Development Inc.</t>
  </si>
  <si>
    <t>Parties are not related.</t>
  </si>
  <si>
    <t xml:space="preserve">Preconstruction services including recommendations regarding plans and specification; construction quanity survey and cost estimates; construction scheduling; discuss sustainability design and construction goals and assist in efficiency; cost tracking log; and BIM coordination. </t>
  </si>
  <si>
    <t>Engagement for pre-construction services with R2H Development LLC, dated 2/2026</t>
  </si>
  <si>
    <t>Cash</t>
  </si>
  <si>
    <t>R2H Development - Deferred Developer Fee</t>
  </si>
  <si>
    <t>Rand Paster Nelson</t>
  </si>
  <si>
    <t>633 West Fifth Street Suite 5880</t>
  </si>
  <si>
    <t>Los Angeles, CA 90071</t>
  </si>
  <si>
    <t>Dave Rand</t>
  </si>
  <si>
    <t>dave@rpnllp.com</t>
  </si>
  <si>
    <t>12034 Nugent Dr.,</t>
  </si>
  <si>
    <t xml:space="preserve"> Granada Hills, CA 91344</t>
  </si>
  <si>
    <t>CalHFA-MIP</t>
  </si>
  <si>
    <t xml:space="preserve">Soft Debt </t>
  </si>
  <si>
    <t>Perm Loan-Taxable</t>
  </si>
  <si>
    <t>Perm Loan-Tax Exempt</t>
  </si>
  <si>
    <t>Not Applicable</t>
  </si>
  <si>
    <t>LifeSTEPS</t>
  </si>
  <si>
    <t>Adult Education, health, skill building classes</t>
  </si>
  <si>
    <t>Health and Wellness services and programs</t>
  </si>
  <si>
    <t xml:space="preserve">8th </t>
  </si>
  <si>
    <t>May</t>
  </si>
  <si>
    <t xml:space="preserve">501 Congressional Blvd. </t>
  </si>
  <si>
    <t>Carmel, IN 46032</t>
  </si>
  <si>
    <t xml:space="preserve">James Wolf </t>
  </si>
  <si>
    <t>jwolf@dozllc.com</t>
  </si>
  <si>
    <t xml:space="preserve">CalHFA Perm Loan </t>
  </si>
  <si>
    <t>Provided</t>
  </si>
  <si>
    <t>Dauby O'Connor &amp; Zaleski, LLC</t>
  </si>
  <si>
    <t>Other: (Owner contigency)</t>
  </si>
  <si>
    <t>AGP Fee</t>
  </si>
  <si>
    <t>N/A - commercial/retail space not included.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</si>
</sst>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2"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3"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90" fillId="23" borderId="0" applyNumberFormat="0" applyBorder="0" applyAlignment="0" applyProtection="0"/>
    <xf numFmtId="0" fontId="90" fillId="23" borderId="0" applyNumberFormat="0" applyBorder="0" applyAlignment="0" applyProtection="0"/>
    <xf numFmtId="0" fontId="90" fillId="24" borderId="0" applyNumberFormat="0" applyBorder="0" applyAlignment="0" applyProtection="0"/>
    <xf numFmtId="0" fontId="90" fillId="25" borderId="0" applyNumberFormat="0" applyBorder="0" applyAlignment="0" applyProtection="0"/>
    <xf numFmtId="0" fontId="90" fillId="25" borderId="0" applyNumberFormat="0" applyBorder="0" applyAlignment="0" applyProtection="0"/>
    <xf numFmtId="0" fontId="90" fillId="26" borderId="0" applyNumberFormat="0" applyBorder="0" applyAlignment="0" applyProtection="0"/>
    <xf numFmtId="0" fontId="90" fillId="26"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1" fillId="35" borderId="0" applyNumberFormat="0" applyBorder="0" applyAlignment="0" applyProtection="0"/>
    <xf numFmtId="0" fontId="91" fillId="35" borderId="0" applyNumberFormat="0" applyBorder="0" applyAlignment="0" applyProtection="0"/>
    <xf numFmtId="0" fontId="92" fillId="36" borderId="18" applyNumberFormat="0" applyAlignment="0" applyProtection="0"/>
    <xf numFmtId="0" fontId="92" fillId="36" borderId="18" applyNumberFormat="0" applyAlignment="0" applyProtection="0"/>
    <xf numFmtId="0" fontId="93" fillId="37" borderId="19" applyNumberFormat="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1"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5" fillId="0" borderId="0" applyFont="0" applyFill="0" applyBorder="0" applyAlignment="0" applyProtection="0"/>
    <xf numFmtId="43" fontId="30" fillId="0" borderId="0" applyFont="0" applyFill="0" applyBorder="0" applyAlignment="0" applyProtection="0"/>
    <xf numFmtId="43" fontId="65" fillId="0" borderId="0" applyFont="0" applyFill="0" applyBorder="0" applyAlignment="0" applyProtection="0"/>
    <xf numFmtId="44" fontId="82"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65" fillId="0" borderId="0" applyFont="0" applyFill="0" applyBorder="0" applyAlignment="0" applyProtection="0"/>
    <xf numFmtId="44" fontId="82" fillId="0" borderId="0" applyFont="0" applyFill="0" applyBorder="0" applyAlignment="0" applyProtection="0"/>
    <xf numFmtId="44" fontId="30" fillId="0" borderId="0" applyFont="0" applyFill="0" applyBorder="0" applyAlignment="0" applyProtection="0"/>
    <xf numFmtId="44" fontId="84" fillId="0" borderId="0" applyFont="0" applyFill="0" applyBorder="0" applyAlignment="0" applyProtection="0"/>
    <xf numFmtId="44" fontId="30"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alignment vertical="top"/>
    </xf>
    <xf numFmtId="44" fontId="30" fillId="0" borderId="0" applyFont="0" applyFill="0" applyBorder="0" applyAlignment="0" applyProtection="0"/>
    <xf numFmtId="44" fontId="65" fillId="0" borderId="0" applyFont="0" applyFill="0" applyBorder="0" applyAlignment="0" applyProtection="0">
      <alignment vertical="top"/>
    </xf>
    <xf numFmtId="44" fontId="65" fillId="0" borderId="0" applyFont="0" applyFill="0" applyBorder="0" applyAlignment="0" applyProtection="0"/>
    <xf numFmtId="44" fontId="8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5" fillId="0" borderId="0" applyFont="0" applyFill="0" applyBorder="0" applyAlignment="0" applyProtection="0"/>
    <xf numFmtId="44" fontId="74"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65" fillId="0" borderId="0" applyFont="0" applyFill="0" applyBorder="0" applyAlignment="0" applyProtection="0"/>
    <xf numFmtId="44" fontId="30" fillId="0" borderId="0" applyFont="0" applyFill="0" applyBorder="0" applyAlignment="0" applyProtection="0"/>
    <xf numFmtId="44" fontId="75" fillId="0" borderId="0" applyFont="0" applyFill="0" applyBorder="0" applyAlignment="0" applyProtection="0"/>
    <xf numFmtId="44" fontId="30" fillId="0" borderId="0" applyFont="0" applyFill="0" applyBorder="0" applyAlignment="0" applyProtection="0"/>
    <xf numFmtId="44" fontId="8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30"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30"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30" fillId="0" borderId="0" applyFont="0" applyFill="0" applyBorder="0" applyAlignment="0" applyProtection="0"/>
    <xf numFmtId="44" fontId="65" fillId="0" borderId="0" applyFont="0" applyFill="0" applyBorder="0" applyAlignment="0" applyProtection="0"/>
    <xf numFmtId="44" fontId="30" fillId="0" borderId="0" applyFont="0" applyFill="0" applyBorder="0" applyAlignment="0" applyProtection="0"/>
    <xf numFmtId="44" fontId="7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80" fillId="0" borderId="0" applyFont="0" applyFill="0" applyBorder="0" applyAlignment="0" applyProtection="0"/>
    <xf numFmtId="44" fontId="30" fillId="0" borderId="0" applyFont="0" applyFill="0" applyBorder="0" applyAlignment="0" applyProtection="0"/>
    <xf numFmtId="0" fontId="94" fillId="0" borderId="0" applyNumberFormat="0" applyFill="0" applyBorder="0" applyAlignment="0" applyProtection="0"/>
    <xf numFmtId="0" fontId="95" fillId="38" borderId="0" applyNumberFormat="0" applyBorder="0" applyAlignment="0" applyProtection="0"/>
    <xf numFmtId="0" fontId="96" fillId="0" borderId="20" applyNumberFormat="0" applyFill="0" applyAlignment="0" applyProtection="0"/>
    <xf numFmtId="0" fontId="96" fillId="0" borderId="20" applyNumberFormat="0" applyFill="0" applyAlignment="0" applyProtection="0"/>
    <xf numFmtId="0" fontId="97" fillId="0" borderId="21" applyNumberFormat="0" applyFill="0" applyAlignment="0" applyProtection="0"/>
    <xf numFmtId="0" fontId="97" fillId="0" borderId="21" applyNumberFormat="0" applyFill="0" applyAlignment="0" applyProtection="0"/>
    <xf numFmtId="0" fontId="98" fillId="0" borderId="22" applyNumberFormat="0" applyFill="0" applyAlignment="0" applyProtection="0"/>
    <xf numFmtId="0" fontId="98" fillId="0" borderId="22"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6" fillId="0" borderId="0" applyNumberFormat="0" applyFill="0" applyBorder="0" applyAlignment="0" applyProtection="0">
      <alignment vertical="top"/>
      <protection locked="0"/>
    </xf>
    <xf numFmtId="0" fontId="99" fillId="39" borderId="18" applyNumberFormat="0" applyAlignment="0" applyProtection="0"/>
    <xf numFmtId="0" fontId="23" fillId="0" borderId="0" applyNumberFormat="0" applyBorder="0"/>
    <xf numFmtId="0" fontId="24" fillId="0" borderId="0" applyBorder="0" applyAlignment="0"/>
    <xf numFmtId="0" fontId="25" fillId="0" borderId="0" applyFill="0" applyBorder="0" applyAlignment="0"/>
    <xf numFmtId="0" fontId="100" fillId="0" borderId="23" applyNumberFormat="0" applyFill="0" applyAlignment="0" applyProtection="0"/>
    <xf numFmtId="0" fontId="101" fillId="40" borderId="0" applyNumberFormat="0" applyBorder="0" applyAlignment="0" applyProtection="0"/>
    <xf numFmtId="0" fontId="102" fillId="0" borderId="0"/>
    <xf numFmtId="0" fontId="65" fillId="0" borderId="0"/>
    <xf numFmtId="0" fontId="102" fillId="0" borderId="0"/>
    <xf numFmtId="0" fontId="65" fillId="0" borderId="0"/>
    <xf numFmtId="0" fontId="65" fillId="0" borderId="0"/>
    <xf numFmtId="0" fontId="3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5" fillId="0" borderId="0"/>
    <xf numFmtId="169" fontId="66" fillId="0" borderId="0"/>
    <xf numFmtId="0" fontId="89" fillId="0" borderId="0"/>
    <xf numFmtId="0" fontId="30" fillId="0" borderId="0"/>
    <xf numFmtId="0" fontId="30" fillId="0" borderId="0"/>
    <xf numFmtId="0" fontId="71" fillId="0" borderId="0"/>
    <xf numFmtId="0" fontId="65" fillId="0" borderId="0"/>
    <xf numFmtId="0" fontId="71" fillId="0" borderId="0"/>
    <xf numFmtId="0" fontId="65" fillId="0" borderId="0"/>
    <xf numFmtId="0" fontId="77" fillId="0" borderId="0"/>
    <xf numFmtId="0" fontId="65" fillId="0" borderId="0"/>
    <xf numFmtId="0" fontId="89" fillId="0" borderId="0"/>
    <xf numFmtId="0" fontId="65"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7" fillId="0" borderId="0"/>
    <xf numFmtId="0" fontId="89" fillId="0" borderId="0"/>
    <xf numFmtId="0" fontId="89" fillId="0" borderId="0"/>
    <xf numFmtId="0" fontId="89" fillId="0" borderId="0"/>
    <xf numFmtId="0" fontId="89" fillId="0" borderId="0"/>
    <xf numFmtId="0" fontId="65"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5" fillId="0" borderId="0"/>
    <xf numFmtId="0" fontId="89" fillId="0" borderId="0"/>
    <xf numFmtId="0" fontId="89" fillId="0" borderId="0"/>
    <xf numFmtId="0" fontId="89" fillId="0" borderId="0"/>
    <xf numFmtId="0" fontId="89" fillId="0" borderId="0"/>
    <xf numFmtId="0" fontId="77" fillId="0" borderId="0"/>
    <xf numFmtId="0" fontId="65" fillId="0" borderId="0">
      <alignment vertical="top"/>
    </xf>
    <xf numFmtId="0" fontId="89" fillId="0" borderId="0"/>
    <xf numFmtId="0" fontId="89" fillId="0" borderId="0"/>
    <xf numFmtId="0" fontId="89" fillId="0" borderId="0"/>
    <xf numFmtId="0" fontId="89" fillId="0" borderId="0"/>
    <xf numFmtId="0" fontId="77" fillId="0" borderId="0"/>
    <xf numFmtId="0" fontId="30" fillId="0" borderId="0"/>
    <xf numFmtId="0" fontId="89" fillId="0" borderId="0"/>
    <xf numFmtId="0" fontId="30" fillId="0" borderId="0"/>
    <xf numFmtId="0" fontId="89" fillId="0" borderId="0"/>
    <xf numFmtId="0" fontId="89" fillId="0" borderId="0"/>
    <xf numFmtId="0" fontId="89" fillId="0" borderId="0"/>
    <xf numFmtId="0" fontId="89" fillId="0" borderId="0"/>
    <xf numFmtId="0" fontId="71" fillId="0" borderId="0"/>
    <xf numFmtId="0" fontId="65" fillId="0" borderId="0">
      <alignment vertical="top"/>
    </xf>
    <xf numFmtId="0" fontId="71" fillId="0" borderId="0"/>
    <xf numFmtId="0" fontId="65" fillId="0" borderId="0">
      <alignment vertical="top"/>
    </xf>
    <xf numFmtId="0" fontId="65" fillId="0" borderId="0">
      <alignment vertical="top"/>
    </xf>
    <xf numFmtId="0" fontId="89" fillId="0" borderId="0"/>
    <xf numFmtId="0" fontId="71" fillId="0" borderId="0"/>
    <xf numFmtId="0" fontId="89" fillId="0" borderId="0"/>
    <xf numFmtId="0" fontId="65"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0" fillId="0" borderId="0"/>
    <xf numFmtId="0" fontId="65" fillId="0" borderId="0">
      <alignment vertical="top"/>
    </xf>
    <xf numFmtId="0" fontId="89" fillId="0" borderId="0"/>
    <xf numFmtId="0" fontId="89" fillId="0" borderId="0"/>
    <xf numFmtId="0" fontId="89" fillId="0" borderId="0"/>
    <xf numFmtId="0" fontId="89" fillId="0" borderId="0"/>
    <xf numFmtId="0" fontId="3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5" fillId="0" borderId="0"/>
    <xf numFmtId="0" fontId="65" fillId="0" borderId="0">
      <alignment vertical="top"/>
    </xf>
    <xf numFmtId="0" fontId="65" fillId="0" borderId="0">
      <alignment vertical="top"/>
    </xf>
    <xf numFmtId="0" fontId="65" fillId="0" borderId="0"/>
    <xf numFmtId="0" fontId="65" fillId="0" borderId="0">
      <alignment vertical="top"/>
    </xf>
    <xf numFmtId="0" fontId="65" fillId="0" borderId="0"/>
    <xf numFmtId="0" fontId="6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0"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30" fillId="0" borderId="0"/>
    <xf numFmtId="0" fontId="89" fillId="0" borderId="0"/>
    <xf numFmtId="0" fontId="89" fillId="0" borderId="0"/>
    <xf numFmtId="0" fontId="89" fillId="0" borderId="0"/>
    <xf numFmtId="0" fontId="21" fillId="0" borderId="0" applyProtection="0">
      <protection locked="0"/>
    </xf>
    <xf numFmtId="0" fontId="30" fillId="0" borderId="0" applyProtection="0">
      <protection locked="0"/>
    </xf>
    <xf numFmtId="0" fontId="30" fillId="0" borderId="0" applyProtection="0">
      <protection locked="0"/>
    </xf>
    <xf numFmtId="0" fontId="66" fillId="0" borderId="0"/>
    <xf numFmtId="0" fontId="21" fillId="0" borderId="0"/>
    <xf numFmtId="0" fontId="81"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1"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89" fillId="41" borderId="24" applyNumberFormat="0" applyFont="0" applyAlignment="0" applyProtection="0"/>
    <xf numFmtId="0" fontId="104" fillId="36" borderId="25" applyNumberFormat="0" applyAlignment="0" applyProtection="0"/>
    <xf numFmtId="0" fontId="104" fillId="36" borderId="25" applyNumberFormat="0" applyAlignment="0" applyProtection="0"/>
    <xf numFmtId="0" fontId="26" fillId="0" borderId="0" applyNumberFormat="0" applyFill="0" applyBorder="0">
      <alignment horizontal="left"/>
    </xf>
    <xf numFmtId="0" fontId="105" fillId="0" borderId="0" applyNumberFormat="0" applyFill="0" applyBorder="0" applyAlignment="0" applyProtection="0"/>
    <xf numFmtId="0" fontId="106" fillId="0" borderId="26" applyNumberFormat="0" applyFill="0" applyAlignment="0" applyProtection="0"/>
    <xf numFmtId="0" fontId="106" fillId="0" borderId="26" applyNumberFormat="0" applyFill="0" applyAlignment="0" applyProtection="0"/>
    <xf numFmtId="0" fontId="107" fillId="0" borderId="0" applyNumberFormat="0" applyFill="0" applyBorder="0" applyAlignment="0" applyProtection="0"/>
    <xf numFmtId="0" fontId="21" fillId="0" borderId="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1" fillId="0" borderId="0"/>
    <xf numFmtId="0" fontId="20" fillId="0" borderId="0"/>
    <xf numFmtId="0" fontId="20" fillId="0" borderId="0"/>
    <xf numFmtId="0" fontId="20" fillId="0" borderId="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0" fontId="20" fillId="41" borderId="24" applyNumberFormat="0" applyFont="0" applyAlignment="0" applyProtection="0"/>
    <xf numFmtId="9" fontId="21" fillId="0" borderId="0" applyFont="0" applyFill="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9" fillId="41" borderId="24" applyNumberFormat="0" applyFont="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2"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2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4" fontId="114"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115" fillId="0" borderId="0" applyNumberForma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05" fillId="0" borderId="0" applyNumberForma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44" fontId="21" fillId="0" borderId="0" applyFont="0" applyFill="0" applyBorder="0" applyAlignment="0" applyProtection="0"/>
    <xf numFmtId="9" fontId="124" fillId="0" borderId="0" applyFont="0" applyFill="0" applyBorder="0" applyAlignment="0" applyProtection="0"/>
    <xf numFmtId="0" fontId="124" fillId="0" borderId="0"/>
    <xf numFmtId="0" fontId="15" fillId="0" borderId="0"/>
    <xf numFmtId="0" fontId="21" fillId="0" borderId="0"/>
    <xf numFmtId="43" fontId="15" fillId="0" borderId="0" applyFont="0" applyFill="0" applyBorder="0" applyAlignment="0" applyProtection="0"/>
    <xf numFmtId="9" fontId="15" fillId="0" borderId="0" applyFont="0" applyFill="0" applyBorder="0" applyAlignment="0" applyProtection="0"/>
    <xf numFmtId="0" fontId="14" fillId="0" borderId="0"/>
    <xf numFmtId="44" fontId="14" fillId="0" borderId="0" applyFont="0" applyFill="0" applyBorder="0" applyAlignment="0" applyProtection="0"/>
    <xf numFmtId="9" fontId="14" fillId="0" borderId="0" applyFont="0" applyFill="0" applyBorder="0" applyAlignment="0" applyProtection="0"/>
    <xf numFmtId="43" fontId="151" fillId="0" borderId="0" applyFon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4" fontId="153" fillId="0" borderId="0" applyFont="0" applyFill="0" applyBorder="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0" fontId="7" fillId="0" borderId="0"/>
    <xf numFmtId="0" fontId="21" fillId="0" borderId="0" applyBorder="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91"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65" fillId="0" borderId="0">
      <alignment vertical="top"/>
    </xf>
    <xf numFmtId="0" fontId="65" fillId="0" borderId="0">
      <alignment vertical="top"/>
    </xf>
    <xf numFmtId="0" fontId="4" fillId="0" borderId="0"/>
    <xf numFmtId="0" fontId="4" fillId="0" borderId="0"/>
    <xf numFmtId="0" fontId="65" fillId="0" borderId="0">
      <alignment vertical="top"/>
    </xf>
    <xf numFmtId="0" fontId="192" fillId="0" borderId="0">
      <alignment vertical="top"/>
    </xf>
    <xf numFmtId="0" fontId="65" fillId="0" borderId="0">
      <alignment vertical="top"/>
    </xf>
    <xf numFmtId="0" fontId="65" fillId="0" borderId="0">
      <alignment vertical="top"/>
    </xf>
    <xf numFmtId="0" fontId="192"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43" fontId="81" fillId="0" borderId="0" applyFont="0" applyFill="0" applyBorder="0" applyAlignment="0" applyProtection="0"/>
    <xf numFmtId="0" fontId="4" fillId="16" borderId="0" applyNumberFormat="0" applyBorder="0" applyAlignment="0" applyProtection="0"/>
    <xf numFmtId="0" fontId="4" fillId="22" borderId="0" applyNumberFormat="0" applyBorder="0" applyAlignment="0" applyProtection="0"/>
    <xf numFmtId="43" fontId="8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8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11" borderId="0" applyNumberFormat="0" applyBorder="0" applyAlignment="0" applyProtection="0"/>
    <xf numFmtId="0" fontId="4" fillId="17" borderId="0" applyNumberFormat="0" applyBorder="0" applyAlignment="0" applyProtection="0"/>
    <xf numFmtId="0" fontId="4" fillId="12"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9" borderId="0" applyNumberFormat="0" applyBorder="0" applyAlignment="0" applyProtection="0"/>
    <xf numFmtId="0" fontId="4" fillId="14" borderId="0" applyNumberFormat="0" applyBorder="0" applyAlignment="0" applyProtection="0"/>
    <xf numFmtId="0" fontId="4" fillId="20" borderId="0" applyNumberFormat="0" applyBorder="0" applyAlignment="0" applyProtection="0"/>
    <xf numFmtId="0" fontId="4" fillId="15" borderId="0" applyNumberFormat="0" applyBorder="0" applyAlignment="0" applyProtection="0"/>
    <xf numFmtId="0" fontId="4" fillId="21"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0" fontId="4" fillId="0" borderId="0"/>
    <xf numFmtId="0" fontId="4" fillId="41" borderId="24" applyNumberFormat="0" applyFont="0" applyAlignment="0" applyProtection="0"/>
    <xf numFmtId="44" fontId="4" fillId="0" borderId="0" applyFont="0" applyFill="0" applyBorder="0" applyAlignment="0" applyProtection="0"/>
    <xf numFmtId="0" fontId="4" fillId="41" borderId="24" applyNumberFormat="0" applyFont="0" applyAlignment="0" applyProtection="0"/>
    <xf numFmtId="0" fontId="4" fillId="13"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6" borderId="0" applyNumberFormat="0" applyBorder="0" applyAlignment="0" applyProtection="0"/>
    <xf numFmtId="0" fontId="4" fillId="15" borderId="0" applyNumberFormat="0" applyBorder="0" applyAlignment="0" applyProtection="0"/>
    <xf numFmtId="0" fontId="4" fillId="11"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0" borderId="0"/>
    <xf numFmtId="0" fontId="4" fillId="0" borderId="0"/>
    <xf numFmtId="0" fontId="65" fillId="0" borderId="0">
      <alignment vertical="top"/>
    </xf>
    <xf numFmtId="0" fontId="65" fillId="0" borderId="0">
      <alignment vertical="top"/>
    </xf>
    <xf numFmtId="43"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0" fontId="103" fillId="0" borderId="0"/>
    <xf numFmtId="0" fontId="81" fillId="41" borderId="24" applyNumberFormat="0" applyFont="0" applyAlignment="0" applyProtection="0"/>
    <xf numFmtId="0" fontId="81" fillId="41" borderId="24" applyNumberFormat="0" applyFont="0" applyAlignment="0" applyProtection="0"/>
    <xf numFmtId="43" fontId="21" fillId="0" borderId="0" applyFont="0" applyFill="0" applyBorder="0" applyAlignment="0" applyProtection="0"/>
    <xf numFmtId="0" fontId="21" fillId="0" borderId="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21" fillId="0" borderId="0"/>
    <xf numFmtId="0" fontId="21" fillId="0" borderId="0"/>
    <xf numFmtId="0" fontId="21" fillId="0" borderId="0"/>
    <xf numFmtId="0" fontId="4" fillId="0" borderId="0"/>
    <xf numFmtId="0" fontId="4" fillId="0" borderId="0"/>
    <xf numFmtId="0" fontId="4" fillId="0" borderId="0"/>
    <xf numFmtId="0" fontId="4" fillId="0" borderId="0"/>
    <xf numFmtId="0" fontId="21" fillId="0" borderId="0"/>
    <xf numFmtId="0" fontId="4" fillId="41" borderId="24" applyNumberFormat="0" applyFont="0" applyAlignment="0" applyProtection="0"/>
    <xf numFmtId="0" fontId="4" fillId="41" borderId="24" applyNumberFormat="0" applyFont="0" applyAlignment="0" applyProtection="0"/>
    <xf numFmtId="169" fontId="193" fillId="0" borderId="0"/>
  </cellStyleXfs>
  <cellXfs count="2694">
    <xf numFmtId="0" fontId="0" fillId="0" borderId="0" xfId="0"/>
    <xf numFmtId="0" fontId="0" fillId="0" borderId="0" xfId="0" applyAlignment="1">
      <alignment horizontal="center"/>
    </xf>
    <xf numFmtId="0" fontId="28" fillId="0" borderId="0" xfId="0" applyFont="1"/>
    <xf numFmtId="0" fontId="21" fillId="0" borderId="0" xfId="0" applyFont="1"/>
    <xf numFmtId="0" fontId="30" fillId="0" borderId="0" xfId="0" applyFont="1"/>
    <xf numFmtId="0" fontId="0" fillId="0" borderId="4" xfId="0" applyBorder="1"/>
    <xf numFmtId="0" fontId="30" fillId="0" borderId="0" xfId="0" applyFont="1" applyAlignment="1">
      <alignment horizontal="center"/>
    </xf>
    <xf numFmtId="0" fontId="2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8" fillId="0" borderId="4" xfId="0" applyFont="1" applyBorder="1"/>
    <xf numFmtId="164" fontId="0" fillId="0" borderId="0" xfId="0" applyNumberFormat="1" applyAlignment="1">
      <alignment horizontal="right"/>
    </xf>
    <xf numFmtId="0" fontId="28" fillId="0" borderId="0" xfId="0" applyFont="1" applyAlignment="1">
      <alignment horizontal="center"/>
    </xf>
    <xf numFmtId="0" fontId="21" fillId="0" borderId="0" xfId="543"/>
    <xf numFmtId="0" fontId="30" fillId="0" borderId="0" xfId="0" applyFont="1" applyAlignment="1">
      <alignment horizontal="left" vertical="top" wrapText="1"/>
    </xf>
    <xf numFmtId="0" fontId="36" fillId="0" borderId="0" xfId="0" applyFont="1"/>
    <xf numFmtId="0" fontId="29" fillId="0" borderId="0" xfId="0" applyFont="1" applyAlignment="1">
      <alignment vertical="top"/>
    </xf>
    <xf numFmtId="0" fontId="29" fillId="0" borderId="0" xfId="0" applyFont="1" applyAlignment="1">
      <alignment vertical="top" wrapText="1"/>
    </xf>
    <xf numFmtId="0" fontId="30" fillId="0" borderId="0" xfId="0" applyFont="1" applyAlignment="1">
      <alignment horizontal="left" indent="4"/>
    </xf>
    <xf numFmtId="0" fontId="29" fillId="0" borderId="0" xfId="0" applyFont="1" applyAlignment="1">
      <alignment horizontal="left" vertical="top"/>
    </xf>
    <xf numFmtId="0" fontId="29" fillId="0" borderId="0" xfId="0" applyFont="1" applyAlignment="1">
      <alignment horizontal="left"/>
    </xf>
    <xf numFmtId="0" fontId="29" fillId="0" borderId="0" xfId="0" applyFont="1"/>
    <xf numFmtId="0" fontId="41" fillId="0" borderId="0" xfId="543" applyFont="1"/>
    <xf numFmtId="1" fontId="29" fillId="0" borderId="0" xfId="0" applyNumberFormat="1" applyFont="1" applyAlignment="1">
      <alignment horizontal="left"/>
    </xf>
    <xf numFmtId="0" fontId="31" fillId="0" borderId="0" xfId="0" applyFont="1"/>
    <xf numFmtId="1" fontId="29" fillId="0" borderId="0" xfId="0" applyNumberFormat="1" applyFont="1" applyAlignment="1">
      <alignment horizontal="right"/>
    </xf>
    <xf numFmtId="0" fontId="0" fillId="0" borderId="0" xfId="0" applyAlignment="1">
      <alignment horizontal="right"/>
    </xf>
    <xf numFmtId="0" fontId="40" fillId="0" borderId="0" xfId="0" applyFont="1"/>
    <xf numFmtId="0" fontId="33" fillId="0" borderId="0" xfId="0" applyFont="1"/>
    <xf numFmtId="172" fontId="21" fillId="0" borderId="0" xfId="543" applyNumberFormat="1"/>
    <xf numFmtId="9" fontId="21" fillId="0" borderId="0" xfId="543" applyNumberFormat="1" applyAlignment="1">
      <alignment horizontal="left"/>
    </xf>
    <xf numFmtId="168" fontId="21" fillId="0" borderId="0" xfId="543" applyNumberFormat="1"/>
    <xf numFmtId="0" fontId="30" fillId="0" borderId="0" xfId="0" applyFont="1" applyAlignment="1">
      <alignment horizontal="right"/>
    </xf>
    <xf numFmtId="0" fontId="44" fillId="0" borderId="0" xfId="0" applyFont="1"/>
    <xf numFmtId="0" fontId="30" fillId="0" borderId="0" xfId="0" applyFont="1" applyAlignment="1">
      <alignment horizontal="left"/>
    </xf>
    <xf numFmtId="0" fontId="32" fillId="0" borderId="0" xfId="0" applyFont="1"/>
    <xf numFmtId="0" fontId="34" fillId="0" borderId="0" xfId="0" applyFont="1"/>
    <xf numFmtId="0" fontId="2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8" fillId="0" borderId="1" xfId="0" applyFont="1" applyBorder="1" applyAlignment="1">
      <alignment horizontal="center" wrapText="1"/>
    </xf>
    <xf numFmtId="0" fontId="2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8" fillId="0" borderId="4" xfId="0" applyFont="1" applyBorder="1" applyAlignment="1">
      <alignment horizontal="center"/>
    </xf>
    <xf numFmtId="0" fontId="37" fillId="0" borderId="3" xfId="0" applyFont="1" applyBorder="1" applyAlignment="1">
      <alignment horizontal="left"/>
    </xf>
    <xf numFmtId="0" fontId="37" fillId="0" borderId="9" xfId="0" applyFont="1" applyBorder="1" applyAlignment="1">
      <alignment horizontal="left"/>
    </xf>
    <xf numFmtId="0" fontId="28" fillId="0" borderId="4" xfId="0" applyFont="1" applyBorder="1" applyAlignment="1">
      <alignment horizontal="right"/>
    </xf>
    <xf numFmtId="0" fontId="28" fillId="0" borderId="5" xfId="0" applyFont="1" applyBorder="1" applyAlignment="1">
      <alignment horizontal="right"/>
    </xf>
    <xf numFmtId="0" fontId="37" fillId="0" borderId="0" xfId="0" applyFont="1" applyAlignment="1">
      <alignment horizontal="left"/>
    </xf>
    <xf numFmtId="0" fontId="28" fillId="0" borderId="0" xfId="0" applyFont="1" applyAlignment="1">
      <alignment horizontal="right"/>
    </xf>
    <xf numFmtId="0" fontId="2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30" fillId="0" borderId="11" xfId="0" applyFont="1" applyBorder="1" applyAlignment="1">
      <alignment horizontal="left"/>
    </xf>
    <xf numFmtId="0" fontId="28" fillId="0" borderId="9" xfId="0" applyFont="1" applyBorder="1"/>
    <xf numFmtId="164" fontId="0" fillId="0" borderId="0" xfId="0" applyNumberFormat="1" applyAlignment="1">
      <alignment horizontal="center"/>
    </xf>
    <xf numFmtId="0" fontId="0" fillId="0" borderId="12" xfId="0" applyBorder="1"/>
    <xf numFmtId="0" fontId="30" fillId="0" borderId="3" xfId="0" applyFont="1" applyBorder="1"/>
    <xf numFmtId="0" fontId="30" fillId="0" borderId="0" xfId="543" applyFont="1"/>
    <xf numFmtId="0" fontId="46" fillId="0" borderId="0" xfId="543" applyFont="1"/>
    <xf numFmtId="49" fontId="21" fillId="0" borderId="0" xfId="543" applyNumberFormat="1"/>
    <xf numFmtId="0" fontId="44" fillId="0" borderId="0" xfId="543" applyFont="1"/>
    <xf numFmtId="168" fontId="41" fillId="0" borderId="6" xfId="543" applyNumberFormat="1" applyFont="1" applyBorder="1" applyAlignment="1">
      <alignment horizontal="left"/>
    </xf>
    <xf numFmtId="168" fontId="41" fillId="0" borderId="6" xfId="543" applyNumberFormat="1" applyFont="1" applyBorder="1" applyAlignment="1">
      <alignment horizontal="center"/>
    </xf>
    <xf numFmtId="0" fontId="21" fillId="0" borderId="8" xfId="543" applyBorder="1"/>
    <xf numFmtId="0" fontId="41" fillId="0" borderId="0" xfId="543" applyFont="1" applyAlignment="1">
      <alignment horizontal="center"/>
    </xf>
    <xf numFmtId="0" fontId="40" fillId="0" borderId="9" xfId="543" applyFont="1" applyBorder="1" applyAlignment="1">
      <alignment horizontal="left" vertical="top" wrapText="1"/>
    </xf>
    <xf numFmtId="0" fontId="40" fillId="0" borderId="6" xfId="543" applyFont="1" applyBorder="1" applyAlignment="1">
      <alignment horizontal="center" vertical="top" wrapText="1"/>
    </xf>
    <xf numFmtId="0" fontId="21" fillId="0" borderId="9" xfId="543" applyBorder="1"/>
    <xf numFmtId="0" fontId="21" fillId="0" borderId="10" xfId="543" applyBorder="1"/>
    <xf numFmtId="0" fontId="21" fillId="0" borderId="1" xfId="543" applyBorder="1"/>
    <xf numFmtId="0" fontId="41" fillId="0" borderId="2" xfId="543" applyFont="1" applyBorder="1" applyAlignment="1">
      <alignment horizontal="center"/>
    </xf>
    <xf numFmtId="0" fontId="43" fillId="0" borderId="8" xfId="543" applyFont="1" applyBorder="1" applyAlignment="1">
      <alignment horizontal="left" vertical="top" wrapText="1"/>
    </xf>
    <xf numFmtId="0" fontId="40" fillId="0" borderId="0" xfId="543" applyFont="1" applyAlignment="1">
      <alignment horizontal="center" vertical="top" wrapText="1"/>
    </xf>
    <xf numFmtId="0" fontId="21" fillId="0" borderId="12" xfId="543" applyBorder="1"/>
    <xf numFmtId="0" fontId="43" fillId="0" borderId="0" xfId="543" applyFont="1" applyAlignment="1">
      <alignment horizontal="center" vertical="top" wrapText="1"/>
    </xf>
    <xf numFmtId="0" fontId="43" fillId="0" borderId="9" xfId="543" applyFont="1" applyBorder="1" applyAlignment="1">
      <alignment horizontal="left" vertical="top" wrapText="1"/>
    </xf>
    <xf numFmtId="0" fontId="21" fillId="0" borderId="2" xfId="543" applyBorder="1"/>
    <xf numFmtId="0" fontId="21" fillId="0" borderId="7" xfId="543" applyBorder="1"/>
    <xf numFmtId="0" fontId="40" fillId="0" borderId="0" xfId="543" applyFont="1"/>
    <xf numFmtId="0" fontId="21" fillId="0" borderId="0" xfId="543" applyAlignment="1">
      <alignment horizontal="center"/>
    </xf>
    <xf numFmtId="0" fontId="29" fillId="0" borderId="6" xfId="543" applyFont="1" applyBorder="1" applyAlignment="1">
      <alignment vertical="top" wrapText="1"/>
    </xf>
    <xf numFmtId="0" fontId="30" fillId="0" borderId="0" xfId="0" applyFont="1" applyAlignment="1">
      <alignment horizontal="left" vertical="top"/>
    </xf>
    <xf numFmtId="0" fontId="0" fillId="2" borderId="2" xfId="0" applyFill="1" applyBorder="1"/>
    <xf numFmtId="0" fontId="0" fillId="2" borderId="7" xfId="0" applyFill="1" applyBorder="1"/>
    <xf numFmtId="0" fontId="28" fillId="0" borderId="6" xfId="0" applyFont="1" applyBorder="1" applyAlignment="1">
      <alignment horizontal="right"/>
    </xf>
    <xf numFmtId="0" fontId="27" fillId="0" borderId="0" xfId="0" applyFont="1" applyAlignment="1">
      <alignment horizontal="center" vertical="center"/>
    </xf>
    <xf numFmtId="0" fontId="28" fillId="0" borderId="0" xfId="0" applyFont="1" applyAlignment="1">
      <alignment vertical="top"/>
    </xf>
    <xf numFmtId="166" fontId="0" fillId="0" borderId="0" xfId="0" applyNumberFormat="1" applyAlignment="1">
      <alignment horizontal="right"/>
    </xf>
    <xf numFmtId="0" fontId="51" fillId="0" borderId="0" xfId="0" applyFont="1"/>
    <xf numFmtId="0" fontId="38" fillId="0" borderId="0" xfId="0" applyFont="1"/>
    <xf numFmtId="0" fontId="22" fillId="0" borderId="0" xfId="244" applyBorder="1" applyProtection="1"/>
    <xf numFmtId="0" fontId="22" fillId="0" borderId="0" xfId="244" applyFill="1" applyBorder="1" applyAlignment="1">
      <alignment horizontal="center" vertical="center"/>
    </xf>
    <xf numFmtId="0" fontId="21" fillId="0" borderId="3" xfId="543" applyBorder="1"/>
    <xf numFmtId="0" fontId="43" fillId="0" borderId="4" xfId="543" applyFont="1" applyBorder="1" applyAlignment="1">
      <alignment horizontal="right" vertical="top" wrapText="1"/>
    </xf>
    <xf numFmtId="0" fontId="30" fillId="0" borderId="6" xfId="0" applyFont="1" applyBorder="1"/>
    <xf numFmtId="0" fontId="30" fillId="0" borderId="2" xfId="0" applyFont="1" applyBorder="1"/>
    <xf numFmtId="0" fontId="30" fillId="0" borderId="7" xfId="0" applyFont="1" applyBorder="1"/>
    <xf numFmtId="0" fontId="30" fillId="0" borderId="12" xfId="0" applyFont="1" applyBorder="1"/>
    <xf numFmtId="0" fontId="30" fillId="0" borderId="9" xfId="0" applyFont="1" applyBorder="1"/>
    <xf numFmtId="0" fontId="30" fillId="0" borderId="10" xfId="0" applyFont="1" applyBorder="1"/>
    <xf numFmtId="0" fontId="35" fillId="0" borderId="6" xfId="0" applyFont="1" applyBorder="1" applyAlignment="1">
      <alignment vertical="top" wrapText="1"/>
    </xf>
    <xf numFmtId="0" fontId="35" fillId="0" borderId="5" xfId="0" applyFont="1" applyBorder="1" applyAlignment="1">
      <alignment vertical="top" wrapText="1"/>
    </xf>
    <xf numFmtId="0" fontId="35" fillId="0" borderId="4" xfId="0" applyFont="1" applyBorder="1" applyAlignment="1">
      <alignment vertical="top" wrapText="1"/>
    </xf>
    <xf numFmtId="0" fontId="35" fillId="2" borderId="6" xfId="0" applyFont="1" applyFill="1" applyBorder="1" applyAlignment="1">
      <alignment vertical="top" wrapText="1"/>
    </xf>
    <xf numFmtId="0" fontId="0" fillId="0" borderId="8" xfId="0" applyBorder="1"/>
    <xf numFmtId="0" fontId="28" fillId="0" borderId="2" xfId="0" applyFont="1" applyBorder="1"/>
    <xf numFmtId="0" fontId="30" fillId="0" borderId="0" xfId="0" applyFont="1" applyAlignment="1">
      <alignment vertical="top"/>
    </xf>
    <xf numFmtId="0" fontId="30" fillId="0" borderId="0" xfId="0" applyFont="1" applyAlignment="1">
      <alignment vertical="top" wrapText="1"/>
    </xf>
    <xf numFmtId="0" fontId="21" fillId="0" borderId="0" xfId="0" applyFont="1" applyAlignment="1">
      <alignment horizontal="left"/>
    </xf>
    <xf numFmtId="0" fontId="21" fillId="0" borderId="0" xfId="0" applyFont="1" applyAlignment="1">
      <alignment vertical="top"/>
    </xf>
    <xf numFmtId="0" fontId="50" fillId="0" borderId="0" xfId="0" applyFont="1"/>
    <xf numFmtId="0" fontId="21" fillId="0" borderId="3" xfId="0" applyFont="1" applyBorder="1"/>
    <xf numFmtId="0" fontId="2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5" fillId="3" borderId="4" xfId="0" applyFont="1" applyFill="1" applyBorder="1" applyAlignment="1">
      <alignment vertical="top" wrapText="1"/>
    </xf>
    <xf numFmtId="0" fontId="35" fillId="3" borderId="5" xfId="0" applyFont="1" applyFill="1" applyBorder="1" applyAlignment="1">
      <alignment vertical="top" wrapText="1"/>
    </xf>
    <xf numFmtId="0" fontId="53" fillId="0" borderId="0" xfId="0" applyFont="1"/>
    <xf numFmtId="0" fontId="30" fillId="0" borderId="4" xfId="0" applyFont="1" applyBorder="1"/>
    <xf numFmtId="0" fontId="28" fillId="0" borderId="2" xfId="0" applyFont="1" applyBorder="1" applyAlignment="1">
      <alignment horizontal="center"/>
    </xf>
    <xf numFmtId="0" fontId="28" fillId="0" borderId="0" xfId="0" applyFont="1" applyAlignment="1">
      <alignment horizontal="center" vertical="center" wrapText="1"/>
    </xf>
    <xf numFmtId="0" fontId="28" fillId="0" borderId="7" xfId="543" applyFont="1" applyBorder="1" applyAlignment="1">
      <alignment horizontal="right"/>
    </xf>
    <xf numFmtId="0" fontId="29" fillId="0" borderId="9" xfId="543" applyFont="1" applyBorder="1"/>
    <xf numFmtId="0" fontId="30" fillId="0" borderId="6" xfId="543" applyFont="1" applyBorder="1"/>
    <xf numFmtId="0" fontId="29" fillId="0" borderId="6" xfId="543" applyFont="1" applyBorder="1" applyAlignment="1">
      <alignment horizontal="right"/>
    </xf>
    <xf numFmtId="0" fontId="28" fillId="0" borderId="0" xfId="0" applyFont="1" applyAlignment="1">
      <alignment horizontal="center" vertical="center"/>
    </xf>
    <xf numFmtId="0" fontId="30" fillId="0" borderId="0" xfId="0" applyFont="1" applyAlignment="1">
      <alignment horizontal="left" vertical="center"/>
    </xf>
    <xf numFmtId="0" fontId="58" fillId="0" borderId="3" xfId="0" applyFont="1" applyBorder="1" applyAlignment="1">
      <alignment horizontal="left" vertical="top"/>
    </xf>
    <xf numFmtId="0" fontId="58" fillId="0" borderId="13" xfId="0" applyFont="1" applyBorder="1" applyAlignment="1">
      <alignment horizontal="center" wrapText="1"/>
    </xf>
    <xf numFmtId="0" fontId="58" fillId="0" borderId="13" xfId="0" applyFont="1" applyBorder="1" applyAlignment="1">
      <alignment horizontal="center" vertical="top" wrapText="1"/>
    </xf>
    <xf numFmtId="0" fontId="58" fillId="2" borderId="13" xfId="0" applyFont="1" applyFill="1" applyBorder="1" applyAlignment="1">
      <alignment horizontal="center" wrapText="1"/>
    </xf>
    <xf numFmtId="0" fontId="59" fillId="2" borderId="11" xfId="0" applyFont="1" applyFill="1" applyBorder="1" applyAlignment="1">
      <alignment horizontal="left" vertical="top" wrapText="1"/>
    </xf>
    <xf numFmtId="0" fontId="60" fillId="4" borderId="11" xfId="0" applyFont="1" applyFill="1" applyBorder="1" applyAlignment="1">
      <alignment vertical="top" wrapText="1"/>
    </xf>
    <xf numFmtId="0" fontId="60" fillId="2" borderId="11" xfId="0" applyFont="1" applyFill="1" applyBorder="1" applyAlignment="1">
      <alignment vertical="top" wrapText="1"/>
    </xf>
    <xf numFmtId="0" fontId="60" fillId="0" borderId="11" xfId="0" applyFont="1" applyBorder="1" applyAlignment="1">
      <alignment vertical="top" wrapText="1"/>
    </xf>
    <xf numFmtId="0" fontId="60" fillId="0" borderId="11" xfId="0" applyFont="1" applyBorder="1" applyAlignment="1">
      <alignment horizontal="right" vertical="top" wrapText="1"/>
    </xf>
    <xf numFmtId="168" fontId="60" fillId="0" borderId="11" xfId="0" applyNumberFormat="1" applyFont="1" applyBorder="1" applyAlignment="1">
      <alignment vertical="top" wrapText="1"/>
    </xf>
    <xf numFmtId="168" fontId="60" fillId="5" borderId="11" xfId="0" applyNumberFormat="1" applyFont="1" applyFill="1" applyBorder="1" applyAlignment="1" applyProtection="1">
      <alignment vertical="top" wrapText="1"/>
      <protection locked="0"/>
    </xf>
    <xf numFmtId="168" fontId="60" fillId="6" borderId="11" xfId="0" applyNumberFormat="1" applyFont="1" applyFill="1" applyBorder="1" applyAlignment="1">
      <alignment horizontal="center" vertical="top" wrapText="1"/>
    </xf>
    <xf numFmtId="0" fontId="58" fillId="0" borderId="11" xfId="0" applyFont="1" applyBorder="1" applyAlignment="1">
      <alignment horizontal="right" vertical="top" wrapText="1"/>
    </xf>
    <xf numFmtId="168" fontId="58" fillId="0" borderId="11" xfId="0" applyNumberFormat="1" applyFont="1" applyBorder="1" applyAlignment="1">
      <alignment vertical="top" wrapText="1"/>
    </xf>
    <xf numFmtId="168" fontId="60" fillId="4" borderId="11" xfId="0" applyNumberFormat="1" applyFont="1" applyFill="1" applyBorder="1" applyAlignment="1">
      <alignment vertical="top" wrapText="1"/>
    </xf>
    <xf numFmtId="0" fontId="58" fillId="2" borderId="11" xfId="0" applyFont="1" applyFill="1" applyBorder="1" applyAlignment="1">
      <alignment vertical="top" wrapText="1"/>
    </xf>
    <xf numFmtId="0" fontId="58" fillId="0" borderId="11" xfId="0" applyFont="1" applyBorder="1" applyAlignment="1">
      <alignment vertical="top" wrapText="1"/>
    </xf>
    <xf numFmtId="0" fontId="24" fillId="0" borderId="11" xfId="0" applyFont="1" applyBorder="1" applyAlignment="1">
      <alignment horizontal="right" vertical="top" wrapText="1"/>
    </xf>
    <xf numFmtId="0" fontId="60" fillId="0" borderId="11" xfId="0" applyFont="1" applyBorder="1" applyAlignment="1" applyProtection="1">
      <alignment horizontal="right" vertical="top" wrapText="1"/>
      <protection locked="0"/>
    </xf>
    <xf numFmtId="0" fontId="58" fillId="0" borderId="0" xfId="0" applyFont="1" applyAlignment="1">
      <alignment horizontal="left" vertical="top"/>
    </xf>
    <xf numFmtId="0" fontId="60" fillId="0" borderId="0" xfId="0" applyFont="1" applyAlignment="1">
      <alignment horizontal="left" vertical="top"/>
    </xf>
    <xf numFmtId="0" fontId="60" fillId="0" borderId="0" xfId="0" applyFont="1" applyAlignment="1">
      <alignment vertical="top" wrapText="1"/>
    </xf>
    <xf numFmtId="0" fontId="60" fillId="0" borderId="0" xfId="0" applyFont="1" applyAlignment="1">
      <alignment vertical="top"/>
    </xf>
    <xf numFmtId="0" fontId="58" fillId="0" borderId="0" xfId="0" applyFont="1" applyAlignment="1">
      <alignment horizontal="right" vertical="top"/>
    </xf>
    <xf numFmtId="0" fontId="60" fillId="2" borderId="0" xfId="0" applyFont="1" applyFill="1" applyAlignment="1">
      <alignment vertical="top" wrapText="1"/>
    </xf>
    <xf numFmtId="0" fontId="58" fillId="0" borderId="0" xfId="0" applyFont="1" applyAlignment="1">
      <alignment vertical="top"/>
    </xf>
    <xf numFmtId="166" fontId="30" fillId="0" borderId="0" xfId="0" applyNumberFormat="1" applyFont="1" applyAlignment="1">
      <alignment horizontal="left"/>
    </xf>
    <xf numFmtId="0" fontId="61" fillId="0" borderId="0" xfId="0" applyFont="1"/>
    <xf numFmtId="0" fontId="21" fillId="0" borderId="0" xfId="244" applyFont="1" applyFill="1" applyBorder="1" applyAlignment="1" applyProtection="1">
      <alignment horizontal="left"/>
    </xf>
    <xf numFmtId="0" fontId="52" fillId="0" borderId="0" xfId="0" applyFont="1"/>
    <xf numFmtId="0" fontId="52" fillId="0" borderId="0" xfId="244" applyFont="1" applyFill="1" applyBorder="1" applyAlignment="1" applyProtection="1">
      <alignment horizontal="left"/>
    </xf>
    <xf numFmtId="0" fontId="27" fillId="3" borderId="11" xfId="0" applyFont="1" applyFill="1" applyBorder="1" applyAlignment="1">
      <alignment vertical="top"/>
    </xf>
    <xf numFmtId="0" fontId="0" fillId="7" borderId="0" xfId="0" applyFill="1"/>
    <xf numFmtId="0" fontId="41" fillId="0" borderId="0" xfId="0" applyFont="1"/>
    <xf numFmtId="0" fontId="63" fillId="0" borderId="0" xfId="0" applyFont="1"/>
    <xf numFmtId="0" fontId="39" fillId="0" borderId="0" xfId="0" applyFont="1" applyAlignment="1">
      <alignment horizontal="center"/>
    </xf>
    <xf numFmtId="0" fontId="39" fillId="0" borderId="0" xfId="0" applyFont="1" applyAlignment="1">
      <alignment horizontal="left"/>
    </xf>
    <xf numFmtId="49" fontId="28" fillId="0" borderId="0" xfId="0" applyNumberFormat="1" applyFont="1" applyAlignment="1">
      <alignment horizontal="center"/>
    </xf>
    <xf numFmtId="0" fontId="55" fillId="0" borderId="0" xfId="0" applyFont="1" applyAlignment="1">
      <alignment horizontal="center"/>
    </xf>
    <xf numFmtId="168" fontId="30" fillId="0" borderId="0" xfId="0" applyNumberFormat="1" applyFont="1" applyAlignment="1">
      <alignment horizontal="center"/>
    </xf>
    <xf numFmtId="168" fontId="40" fillId="0" borderId="0" xfId="0" applyNumberFormat="1" applyFont="1" applyAlignment="1">
      <alignment horizontal="left" vertical="top" wrapText="1"/>
    </xf>
    <xf numFmtId="0" fontId="57" fillId="0" borderId="3" xfId="0" applyFont="1" applyBorder="1"/>
    <xf numFmtId="168" fontId="0" fillId="0" borderId="0" xfId="0" applyNumberFormat="1" applyAlignment="1">
      <alignment horizontal="center"/>
    </xf>
    <xf numFmtId="0" fontId="41" fillId="0" borderId="0" xfId="0" applyFont="1" applyAlignment="1">
      <alignment vertical="top" wrapText="1"/>
    </xf>
    <xf numFmtId="0" fontId="58" fillId="0" borderId="4" xfId="0" applyFont="1" applyBorder="1" applyAlignment="1">
      <alignment horizontal="right"/>
    </xf>
    <xf numFmtId="0" fontId="65" fillId="0" borderId="0" xfId="0" applyFont="1"/>
    <xf numFmtId="3" fontId="30" fillId="0" borderId="0" xfId="0" applyNumberFormat="1" applyFont="1" applyAlignment="1">
      <alignment horizontal="center"/>
    </xf>
    <xf numFmtId="168" fontId="21" fillId="0" borderId="0" xfId="0" applyNumberFormat="1" applyFont="1" applyAlignment="1">
      <alignment horizontal="left" vertical="top"/>
    </xf>
    <xf numFmtId="168" fontId="30" fillId="0" borderId="0" xfId="0" applyNumberFormat="1" applyFont="1" applyAlignment="1">
      <alignment horizontal="left" vertical="top"/>
    </xf>
    <xf numFmtId="0" fontId="60" fillId="0" borderId="11" xfId="0" applyFont="1" applyBorder="1" applyAlignment="1">
      <alignment horizontal="right" vertical="top"/>
    </xf>
    <xf numFmtId="0" fontId="60" fillId="0" borderId="0" xfId="0" applyFont="1" applyAlignment="1">
      <alignment horizontal="right" vertical="top" wrapText="1"/>
    </xf>
    <xf numFmtId="0" fontId="60" fillId="2" borderId="12" xfId="0" applyFont="1" applyFill="1" applyBorder="1" applyAlignment="1">
      <alignment vertical="top" wrapText="1"/>
    </xf>
    <xf numFmtId="0" fontId="60" fillId="0" borderId="14" xfId="0" applyFont="1" applyBorder="1" applyAlignment="1">
      <alignment vertical="top" wrapText="1"/>
    </xf>
    <xf numFmtId="168" fontId="60" fillId="5" borderId="11" xfId="0" applyNumberFormat="1" applyFont="1" applyFill="1" applyBorder="1" applyAlignment="1" applyProtection="1">
      <alignment vertical="top"/>
      <protection locked="0"/>
    </xf>
    <xf numFmtId="0" fontId="60" fillId="2" borderId="11" xfId="0" applyFont="1" applyFill="1" applyBorder="1" applyAlignment="1" applyProtection="1">
      <alignment vertical="top"/>
      <protection locked="0"/>
    </xf>
    <xf numFmtId="0" fontId="60" fillId="0" borderId="11" xfId="0" applyFont="1" applyBorder="1" applyAlignment="1" applyProtection="1">
      <alignment vertical="top"/>
      <protection locked="0"/>
    </xf>
    <xf numFmtId="168" fontId="60" fillId="0" borderId="11" xfId="0" applyNumberFormat="1" applyFont="1" applyBorder="1" applyAlignment="1">
      <alignment vertical="top"/>
    </xf>
    <xf numFmtId="168" fontId="60" fillId="6" borderId="11" xfId="0" applyNumberFormat="1" applyFont="1" applyFill="1" applyBorder="1" applyAlignment="1">
      <alignment horizontal="center" vertical="top"/>
    </xf>
    <xf numFmtId="0" fontId="28" fillId="0" borderId="0" xfId="542" applyFont="1" applyProtection="1">
      <protection locked="0"/>
    </xf>
    <xf numFmtId="0" fontId="21" fillId="0" borderId="0" xfId="539" applyProtection="1"/>
    <xf numFmtId="0" fontId="41" fillId="8" borderId="0" xfId="539" applyFont="1" applyFill="1" applyAlignment="1" applyProtection="1">
      <alignment horizontal="centerContinuous"/>
    </xf>
    <xf numFmtId="0" fontId="28" fillId="0" borderId="0" xfId="543" applyFont="1"/>
    <xf numFmtId="0" fontId="30" fillId="0" borderId="0" xfId="543" applyFont="1" applyAlignment="1">
      <alignment horizontal="left"/>
    </xf>
    <xf numFmtId="0" fontId="30" fillId="0" borderId="15" xfId="0" applyFont="1" applyBorder="1"/>
    <xf numFmtId="2" fontId="44" fillId="0" borderId="11" xfId="0" applyNumberFormat="1" applyFont="1" applyBorder="1"/>
    <xf numFmtId="0" fontId="21" fillId="0" borderId="0" xfId="0" applyFont="1" applyProtection="1">
      <protection locked="0"/>
    </xf>
    <xf numFmtId="0" fontId="68" fillId="0" borderId="0" xfId="0" applyFont="1" applyAlignment="1">
      <alignment horizontal="center"/>
    </xf>
    <xf numFmtId="0" fontId="30" fillId="0" borderId="0" xfId="271"/>
    <xf numFmtId="0" fontId="28" fillId="0" borderId="0" xfId="271" applyFont="1"/>
    <xf numFmtId="0" fontId="30" fillId="0" borderId="0" xfId="271" applyAlignment="1">
      <alignment horizontal="left"/>
    </xf>
    <xf numFmtId="168" fontId="28" fillId="0" borderId="2" xfId="543" applyNumberFormat="1" applyFont="1" applyBorder="1" applyAlignment="1">
      <alignment horizontal="center" vertical="center"/>
    </xf>
    <xf numFmtId="0" fontId="43" fillId="0" borderId="0" xfId="543" applyFont="1" applyAlignment="1">
      <alignment horizontal="right" vertical="top" wrapText="1"/>
    </xf>
    <xf numFmtId="0" fontId="41" fillId="0" borderId="2" xfId="543" applyFont="1" applyBorder="1" applyAlignment="1">
      <alignment horizontal="right" vertical="top" wrapText="1"/>
    </xf>
    <xf numFmtId="0" fontId="26" fillId="0" borderId="0" xfId="0" applyFont="1"/>
    <xf numFmtId="0" fontId="70" fillId="0" borderId="0" xfId="0" applyFont="1"/>
    <xf numFmtId="0" fontId="68" fillId="0" borderId="0" xfId="0" applyFont="1"/>
    <xf numFmtId="0" fontId="41"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8" fillId="0" borderId="0" xfId="0" applyNumberFormat="1" applyFont="1" applyAlignment="1">
      <alignment horizontal="center"/>
    </xf>
    <xf numFmtId="3" fontId="30" fillId="0" borderId="0" xfId="0" applyNumberFormat="1" applyFont="1"/>
    <xf numFmtId="0" fontId="69" fillId="0" borderId="0" xfId="0" applyFont="1"/>
    <xf numFmtId="168" fontId="26" fillId="0" borderId="0" xfId="0" applyNumberFormat="1" applyFont="1"/>
    <xf numFmtId="10" fontId="26" fillId="0" borderId="0" xfId="0" applyNumberFormat="1" applyFont="1" applyAlignment="1">
      <alignment horizontal="center"/>
    </xf>
    <xf numFmtId="3" fontId="72" fillId="0" borderId="0" xfId="0" applyNumberFormat="1" applyFont="1"/>
    <xf numFmtId="3" fontId="26" fillId="0" borderId="0" xfId="0" applyNumberFormat="1" applyFont="1"/>
    <xf numFmtId="168" fontId="69" fillId="0" borderId="0" xfId="0" applyNumberFormat="1" applyFont="1"/>
    <xf numFmtId="168" fontId="69" fillId="0" borderId="0" xfId="0" applyNumberFormat="1" applyFont="1" applyAlignment="1">
      <alignment horizontal="center"/>
    </xf>
    <xf numFmtId="0" fontId="26" fillId="5" borderId="0" xfId="0" applyFont="1" applyFill="1" applyAlignment="1">
      <alignment horizontal="left"/>
    </xf>
    <xf numFmtId="0" fontId="26" fillId="5" borderId="0" xfId="0" applyFont="1" applyFill="1"/>
    <xf numFmtId="10" fontId="26" fillId="0" borderId="0" xfId="0" applyNumberFormat="1" applyFont="1"/>
    <xf numFmtId="172" fontId="26" fillId="0" borderId="0" xfId="0" applyNumberFormat="1" applyFont="1"/>
    <xf numFmtId="172" fontId="26" fillId="0" borderId="0" xfId="0" applyNumberFormat="1" applyFont="1" applyAlignment="1">
      <alignment horizontal="center"/>
    </xf>
    <xf numFmtId="0" fontId="26" fillId="0" borderId="6" xfId="0" applyFont="1" applyBorder="1"/>
    <xf numFmtId="10" fontId="26" fillId="0" borderId="6" xfId="0" applyNumberFormat="1" applyFont="1" applyBorder="1" applyAlignment="1">
      <alignment horizontal="center"/>
    </xf>
    <xf numFmtId="3" fontId="26" fillId="0" borderId="6" xfId="0" applyNumberFormat="1" applyFont="1" applyBorder="1"/>
    <xf numFmtId="10" fontId="30" fillId="0" borderId="0" xfId="0" applyNumberFormat="1" applyFont="1" applyAlignment="1">
      <alignment horizontal="center"/>
    </xf>
    <xf numFmtId="3" fontId="30" fillId="0" borderId="0" xfId="0" applyNumberFormat="1" applyFont="1" applyAlignment="1">
      <alignment vertical="top"/>
    </xf>
    <xf numFmtId="10" fontId="28" fillId="0" borderId="0" xfId="0" applyNumberFormat="1" applyFont="1" applyAlignment="1">
      <alignment horizontal="center"/>
    </xf>
    <xf numFmtId="0" fontId="68" fillId="0" borderId="6" xfId="0" applyFont="1" applyBorder="1" applyAlignment="1">
      <alignment horizontal="center"/>
    </xf>
    <xf numFmtId="172" fontId="30" fillId="0" borderId="0" xfId="0" applyNumberFormat="1" applyFont="1" applyAlignment="1">
      <alignment horizontal="center"/>
    </xf>
    <xf numFmtId="10" fontId="73" fillId="0" borderId="0" xfId="0" applyNumberFormat="1" applyFont="1" applyAlignment="1">
      <alignment horizontal="center"/>
    </xf>
    <xf numFmtId="0" fontId="30" fillId="9" borderId="6" xfId="0" applyFont="1" applyFill="1" applyBorder="1"/>
    <xf numFmtId="0" fontId="30" fillId="0" borderId="4" xfId="271" applyBorder="1"/>
    <xf numFmtId="0" fontId="30" fillId="0" borderId="6" xfId="271" applyBorder="1"/>
    <xf numFmtId="0" fontId="30" fillId="0" borderId="1" xfId="0" applyFont="1" applyBorder="1"/>
    <xf numFmtId="168" fontId="30" fillId="0" borderId="3" xfId="0" applyNumberFormat="1" applyFont="1" applyBorder="1" applyAlignment="1">
      <alignment vertical="top"/>
    </xf>
    <xf numFmtId="168" fontId="30" fillId="0" borderId="4" xfId="0" applyNumberFormat="1" applyFont="1" applyBorder="1" applyAlignment="1">
      <alignment vertical="top"/>
    </xf>
    <xf numFmtId="168" fontId="30" fillId="0" borderId="5" xfId="0" applyNumberFormat="1" applyFont="1" applyBorder="1" applyAlignment="1">
      <alignment vertical="top"/>
    </xf>
    <xf numFmtId="168" fontId="30" fillId="0" borderId="8" xfId="0" applyNumberFormat="1" applyFont="1" applyBorder="1" applyAlignment="1">
      <alignment vertical="top"/>
    </xf>
    <xf numFmtId="168" fontId="30" fillId="0" borderId="0" xfId="0" applyNumberFormat="1" applyFont="1" applyAlignment="1">
      <alignment vertical="top"/>
    </xf>
    <xf numFmtId="0" fontId="30" fillId="0" borderId="0" xfId="0" applyFont="1" applyAlignment="1">
      <alignment horizontal="right" vertical="top"/>
    </xf>
    <xf numFmtId="0" fontId="30"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30" fillId="5" borderId="4" xfId="0" applyFont="1" applyFill="1" applyBorder="1" applyAlignment="1" applyProtection="1">
      <alignment horizontal="left" vertical="top"/>
      <protection locked="0"/>
    </xf>
    <xf numFmtId="0" fontId="30" fillId="5" borderId="5" xfId="0" applyFont="1" applyFill="1" applyBorder="1" applyAlignment="1" applyProtection="1">
      <alignment horizontal="left" vertical="top"/>
      <protection locked="0"/>
    </xf>
    <xf numFmtId="4" fontId="55" fillId="0" borderId="0" xfId="0" applyNumberFormat="1" applyFont="1" applyAlignment="1">
      <alignment horizontal="center"/>
    </xf>
    <xf numFmtId="0" fontId="40" fillId="0" borderId="1" xfId="543" applyFont="1" applyBorder="1" applyAlignment="1">
      <alignment horizontal="left" vertical="top" wrapText="1"/>
    </xf>
    <xf numFmtId="0" fontId="40" fillId="0" borderId="12" xfId="543" applyFont="1" applyBorder="1" applyAlignment="1">
      <alignment horizontal="center" vertical="top" wrapText="1"/>
    </xf>
    <xf numFmtId="0" fontId="40" fillId="0" borderId="8" xfId="543" applyFont="1" applyBorder="1" applyAlignment="1">
      <alignment horizontal="left" vertical="top" wrapText="1"/>
    </xf>
    <xf numFmtId="0" fontId="35" fillId="3" borderId="4" xfId="271" applyFont="1" applyFill="1" applyBorder="1" applyAlignment="1">
      <alignment vertical="top" wrapText="1"/>
    </xf>
    <xf numFmtId="0" fontId="27" fillId="3" borderId="11" xfId="271" applyFont="1" applyFill="1" applyBorder="1" applyAlignment="1">
      <alignment vertical="top"/>
    </xf>
    <xf numFmtId="0" fontId="28" fillId="0" borderId="9" xfId="271" applyFont="1" applyBorder="1" applyAlignment="1">
      <alignment horizontal="center" wrapText="1"/>
    </xf>
    <xf numFmtId="0" fontId="35" fillId="3" borderId="4" xfId="271" applyFont="1" applyFill="1" applyBorder="1" applyAlignment="1" applyProtection="1">
      <alignment vertical="top" wrapText="1"/>
      <protection locked="0"/>
    </xf>
    <xf numFmtId="0" fontId="35" fillId="3" borderId="5" xfId="271" applyFont="1" applyFill="1" applyBorder="1" applyAlignment="1" applyProtection="1">
      <alignment vertical="top" wrapText="1"/>
      <protection locked="0"/>
    </xf>
    <xf numFmtId="0" fontId="28" fillId="0" borderId="13" xfId="271" applyFont="1" applyBorder="1" applyAlignment="1">
      <alignment horizontal="center" wrapText="1"/>
    </xf>
    <xf numFmtId="0" fontId="53" fillId="2" borderId="11" xfId="271" applyFont="1" applyFill="1" applyBorder="1" applyAlignment="1">
      <alignment horizontal="left" vertical="top" wrapText="1"/>
    </xf>
    <xf numFmtId="0" fontId="30" fillId="0" borderId="11" xfId="271" applyBorder="1" applyAlignment="1" applyProtection="1">
      <alignment vertical="top" wrapText="1"/>
      <protection locked="0"/>
    </xf>
    <xf numFmtId="168" fontId="30" fillId="5" borderId="11" xfId="271" applyNumberFormat="1" applyFill="1" applyBorder="1" applyAlignment="1" applyProtection="1">
      <alignment vertical="top" wrapText="1"/>
      <protection locked="0"/>
    </xf>
    <xf numFmtId="0" fontId="30" fillId="5" borderId="3" xfId="271" applyFill="1" applyBorder="1" applyAlignment="1" applyProtection="1">
      <alignment vertical="top" wrapText="1"/>
      <protection locked="0"/>
    </xf>
    <xf numFmtId="0" fontId="30" fillId="5" borderId="11" xfId="271" applyFill="1" applyBorder="1" applyAlignment="1" applyProtection="1">
      <alignment vertical="top" wrapText="1"/>
      <protection locked="0"/>
    </xf>
    <xf numFmtId="0" fontId="30" fillId="0" borderId="11" xfId="271" applyBorder="1" applyAlignment="1">
      <alignment horizontal="right" vertical="top" wrapText="1"/>
    </xf>
    <xf numFmtId="168" fontId="30" fillId="0" borderId="11" xfId="271" applyNumberFormat="1" applyBorder="1" applyAlignment="1">
      <alignment vertical="top" wrapText="1"/>
    </xf>
    <xf numFmtId="0" fontId="28" fillId="0" borderId="11" xfId="271" applyFont="1" applyBorder="1" applyAlignment="1">
      <alignment horizontal="right" vertical="top" wrapText="1"/>
    </xf>
    <xf numFmtId="0" fontId="30" fillId="5" borderId="11" xfId="271" applyFill="1" applyBorder="1" applyAlignment="1" applyProtection="1">
      <alignment horizontal="right" vertical="top" wrapText="1"/>
      <protection locked="0"/>
    </xf>
    <xf numFmtId="168" fontId="28" fillId="0" borderId="11" xfId="271" applyNumberFormat="1" applyFont="1" applyBorder="1" applyAlignment="1">
      <alignment vertical="top" wrapText="1"/>
    </xf>
    <xf numFmtId="0" fontId="38" fillId="0" borderId="11" xfId="271" applyFont="1" applyBorder="1" applyAlignment="1">
      <alignment horizontal="right" vertical="top" wrapText="1"/>
    </xf>
    <xf numFmtId="0" fontId="35" fillId="0" borderId="0" xfId="271" applyFont="1" applyAlignment="1" applyProtection="1">
      <alignment vertical="top" wrapText="1"/>
      <protection locked="0"/>
    </xf>
    <xf numFmtId="0" fontId="30" fillId="0" borderId="5" xfId="271" applyBorder="1" applyAlignment="1" applyProtection="1">
      <alignment vertical="top" wrapText="1"/>
      <protection locked="0"/>
    </xf>
    <xf numFmtId="0" fontId="28" fillId="0" borderId="3" xfId="271" applyFont="1" applyBorder="1" applyAlignment="1">
      <alignment horizontal="left" vertical="top"/>
    </xf>
    <xf numFmtId="0" fontId="30" fillId="0" borderId="4" xfId="271" applyBorder="1" applyAlignment="1" applyProtection="1">
      <alignment horizontal="left" vertical="top"/>
      <protection locked="0"/>
    </xf>
    <xf numFmtId="0" fontId="30" fillId="0" borderId="4" xfId="271" applyBorder="1" applyAlignment="1" applyProtection="1">
      <alignment vertical="top" wrapText="1"/>
      <protection locked="0"/>
    </xf>
    <xf numFmtId="0" fontId="35" fillId="0" borderId="0" xfId="271" applyFont="1" applyAlignment="1">
      <alignment vertical="top" wrapText="1"/>
    </xf>
    <xf numFmtId="0" fontId="30" fillId="0" borderId="4" xfId="271" applyBorder="1" applyAlignment="1">
      <alignment vertical="top" wrapText="1"/>
    </xf>
    <xf numFmtId="0" fontId="53" fillId="2" borderId="11" xfId="271" applyFont="1" applyFill="1" applyBorder="1" applyAlignment="1" applyProtection="1">
      <alignment horizontal="left" vertical="top" wrapText="1"/>
      <protection locked="0"/>
    </xf>
    <xf numFmtId="0" fontId="57" fillId="0" borderId="11" xfId="0" applyFont="1" applyBorder="1" applyAlignment="1">
      <alignment horizontal="right" vertical="top" wrapText="1"/>
    </xf>
    <xf numFmtId="0" fontId="30" fillId="8" borderId="0" xfId="542" quotePrefix="1" applyFont="1" applyFill="1" applyAlignment="1">
      <alignment horizontal="left"/>
    </xf>
    <xf numFmtId="0" fontId="30" fillId="8" borderId="0" xfId="542" applyFont="1" applyFill="1"/>
    <xf numFmtId="0" fontId="38" fillId="8" borderId="0" xfId="542" applyFont="1" applyFill="1"/>
    <xf numFmtId="0" fontId="57" fillId="0" borderId="11" xfId="271" applyFont="1" applyBorder="1" applyAlignment="1">
      <alignment horizontal="right" vertical="top"/>
    </xf>
    <xf numFmtId="0" fontId="57" fillId="0" borderId="11" xfId="271" applyFont="1" applyBorder="1" applyAlignment="1">
      <alignment horizontal="right" vertical="top" wrapText="1"/>
    </xf>
    <xf numFmtId="0" fontId="30" fillId="0" borderId="0" xfId="271" applyAlignment="1">
      <alignment horizontal="left" vertical="top"/>
    </xf>
    <xf numFmtId="0" fontId="28" fillId="0" borderId="0" xfId="271" applyFont="1" applyAlignment="1">
      <alignment horizontal="right"/>
    </xf>
    <xf numFmtId="0" fontId="29" fillId="0" borderId="0" xfId="271" applyFont="1" applyAlignment="1">
      <alignment horizontal="center"/>
    </xf>
    <xf numFmtId="5" fontId="30" fillId="0" borderId="0" xfId="542" applyNumberFormat="1" applyFont="1"/>
    <xf numFmtId="1" fontId="30" fillId="0" borderId="15" xfId="271" applyNumberFormat="1" applyBorder="1"/>
    <xf numFmtId="1" fontId="30" fillId="0" borderId="14" xfId="271" applyNumberFormat="1" applyBorder="1"/>
    <xf numFmtId="0" fontId="29" fillId="0" borderId="6" xfId="271" applyFont="1" applyBorder="1" applyAlignment="1">
      <alignment horizontal="left"/>
    </xf>
    <xf numFmtId="0" fontId="29" fillId="0" borderId="6" xfId="271" applyFont="1" applyBorder="1" applyAlignment="1">
      <alignment horizontal="right"/>
    </xf>
    <xf numFmtId="165" fontId="30" fillId="0" borderId="0" xfId="271" applyNumberFormat="1"/>
    <xf numFmtId="170" fontId="30" fillId="0" borderId="14" xfId="271" applyNumberFormat="1" applyBorder="1"/>
    <xf numFmtId="1" fontId="28" fillId="0" borderId="11" xfId="271" applyNumberFormat="1" applyFont="1" applyBorder="1"/>
    <xf numFmtId="165" fontId="28" fillId="0" borderId="11" xfId="271" applyNumberFormat="1" applyFont="1" applyBorder="1"/>
    <xf numFmtId="3" fontId="60" fillId="0" borderId="11" xfId="0" applyNumberFormat="1" applyFont="1" applyBorder="1" applyAlignment="1">
      <alignment vertical="top" wrapText="1"/>
    </xf>
    <xf numFmtId="166" fontId="30" fillId="0" borderId="0" xfId="0" applyNumberFormat="1" applyFont="1"/>
    <xf numFmtId="0" fontId="0" fillId="0" borderId="0" xfId="0" applyProtection="1">
      <protection locked="0"/>
    </xf>
    <xf numFmtId="0" fontId="26" fillId="0" borderId="0" xfId="0" applyFont="1" applyProtection="1">
      <protection locked="0"/>
    </xf>
    <xf numFmtId="0" fontId="26" fillId="0" borderId="0" xfId="271" applyFont="1" applyProtection="1">
      <protection locked="0"/>
    </xf>
    <xf numFmtId="168" fontId="26" fillId="0" borderId="0" xfId="271" applyNumberFormat="1" applyFont="1" applyProtection="1">
      <protection locked="0"/>
    </xf>
    <xf numFmtId="0" fontId="34" fillId="0" borderId="1" xfId="0" applyFont="1" applyBorder="1"/>
    <xf numFmtId="0" fontId="21" fillId="0" borderId="2" xfId="0" applyFont="1" applyBorder="1" applyAlignment="1">
      <alignment horizontal="left"/>
    </xf>
    <xf numFmtId="0" fontId="21" fillId="0" borderId="2" xfId="0" applyFont="1" applyBorder="1"/>
    <xf numFmtId="0" fontId="34" fillId="0" borderId="8" xfId="0" applyFont="1" applyBorder="1"/>
    <xf numFmtId="0" fontId="34" fillId="0" borderId="9" xfId="0" applyFont="1" applyBorder="1"/>
    <xf numFmtId="0" fontId="28" fillId="0" borderId="0" xfId="0" applyFont="1" applyAlignment="1">
      <alignment horizontal="left" vertical="top"/>
    </xf>
    <xf numFmtId="0" fontId="78" fillId="0" borderId="0" xfId="0" applyFont="1" applyAlignment="1">
      <alignment vertical="center" wrapText="1"/>
    </xf>
    <xf numFmtId="0" fontId="78" fillId="0" borderId="0" xfId="0" applyFont="1" applyAlignment="1">
      <alignment vertical="center"/>
    </xf>
    <xf numFmtId="0" fontId="78" fillId="0" borderId="0" xfId="0" applyFont="1" applyAlignment="1">
      <alignment horizontal="left" vertical="center" indent="1"/>
    </xf>
    <xf numFmtId="172" fontId="30" fillId="5" borderId="0" xfId="0" applyNumberFormat="1" applyFont="1" applyFill="1" applyAlignment="1">
      <alignment horizontal="center"/>
    </xf>
    <xf numFmtId="0" fontId="79" fillId="0" borderId="0" xfId="0" applyFont="1" applyAlignment="1">
      <alignment horizontal="left" vertical="center"/>
    </xf>
    <xf numFmtId="0" fontId="40" fillId="0" borderId="2" xfId="543" applyFont="1" applyBorder="1" applyAlignment="1">
      <alignment horizontal="center" vertical="top" wrapText="1"/>
    </xf>
    <xf numFmtId="49" fontId="51" fillId="0" borderId="0" xfId="0" applyNumberFormat="1" applyFont="1" applyAlignment="1">
      <alignment horizontal="center"/>
    </xf>
    <xf numFmtId="0" fontId="57" fillId="0" borderId="0" xfId="0" applyFont="1"/>
    <xf numFmtId="5" fontId="83" fillId="0" borderId="11" xfId="541" applyNumberFormat="1" applyFont="1" applyBorder="1" applyAlignment="1" applyProtection="1">
      <alignment horizontal="center"/>
    </xf>
    <xf numFmtId="5" fontId="83" fillId="42" borderId="11" xfId="541" applyNumberFormat="1" applyFont="1" applyFill="1" applyBorder="1" applyAlignment="1" applyProtection="1">
      <alignment horizontal="center"/>
    </xf>
    <xf numFmtId="5" fontId="83" fillId="2" borderId="11" xfId="541" applyNumberFormat="1" applyFont="1" applyFill="1" applyBorder="1" applyAlignment="1" applyProtection="1">
      <alignment horizontal="center"/>
    </xf>
    <xf numFmtId="0" fontId="57" fillId="0" borderId="0" xfId="0" applyFont="1" applyAlignment="1">
      <alignment vertical="top" wrapText="1"/>
    </xf>
    <xf numFmtId="0" fontId="57" fillId="0" borderId="0" xfId="0" applyFont="1" applyAlignment="1">
      <alignment vertical="top"/>
    </xf>
    <xf numFmtId="0" fontId="57" fillId="2" borderId="0" xfId="0" applyFont="1" applyFill="1" applyAlignment="1">
      <alignment vertical="top" wrapText="1"/>
    </xf>
    <xf numFmtId="0" fontId="85" fillId="0" borderId="13" xfId="0" applyFont="1" applyBorder="1" applyAlignment="1">
      <alignment vertical="top" wrapText="1"/>
    </xf>
    <xf numFmtId="0" fontId="35" fillId="0" borderId="0" xfId="0" applyFont="1" applyAlignment="1">
      <alignment vertical="top" wrapText="1"/>
    </xf>
    <xf numFmtId="0" fontId="85" fillId="2" borderId="13" xfId="0" applyFont="1" applyFill="1" applyBorder="1" applyAlignment="1">
      <alignment vertical="top" wrapText="1"/>
    </xf>
    <xf numFmtId="0" fontId="85" fillId="0" borderId="0" xfId="0" applyFont="1" applyAlignment="1">
      <alignment vertical="top" wrapText="1"/>
    </xf>
    <xf numFmtId="0" fontId="85" fillId="2" borderId="0" xfId="0" applyFont="1" applyFill="1" applyAlignment="1">
      <alignment vertical="top" wrapText="1"/>
    </xf>
    <xf numFmtId="0" fontId="57" fillId="0" borderId="0" xfId="0" applyFont="1" applyAlignment="1">
      <alignment horizontal="right" vertical="top" wrapText="1"/>
    </xf>
    <xf numFmtId="168" fontId="57" fillId="5" borderId="6" xfId="0" applyNumberFormat="1" applyFont="1" applyFill="1" applyBorder="1" applyAlignment="1" applyProtection="1">
      <alignment horizontal="right" vertical="top" wrapText="1"/>
      <protection locked="0"/>
    </xf>
    <xf numFmtId="168" fontId="57" fillId="0" borderId="6" xfId="0" applyNumberFormat="1" applyFont="1" applyBorder="1" applyAlignment="1">
      <alignment horizontal="right" vertical="top" wrapText="1"/>
    </xf>
    <xf numFmtId="0" fontId="28" fillId="0" borderId="0" xfId="0" applyFont="1" applyAlignment="1">
      <alignment horizontal="left" vertical="top" wrapText="1"/>
    </xf>
    <xf numFmtId="0" fontId="30" fillId="0" borderId="0" xfId="0" applyFont="1" applyAlignment="1">
      <alignment horizontal="right" vertical="top" wrapText="1"/>
    </xf>
    <xf numFmtId="10" fontId="30" fillId="5" borderId="6" xfId="0" applyNumberFormat="1" applyFont="1" applyFill="1" applyBorder="1" applyAlignment="1" applyProtection="1">
      <alignment horizontal="center" vertical="top" wrapText="1"/>
      <protection locked="0"/>
    </xf>
    <xf numFmtId="0" fontId="68" fillId="0" borderId="0" xfId="0" applyFont="1" applyAlignment="1">
      <alignment horizontal="left" vertical="center"/>
    </xf>
    <xf numFmtId="0" fontId="28" fillId="0" borderId="2" xfId="543" applyFont="1" applyBorder="1" applyAlignment="1">
      <alignment horizontal="center"/>
    </xf>
    <xf numFmtId="0" fontId="0" fillId="0" borderId="0" xfId="543" applyFont="1"/>
    <xf numFmtId="0" fontId="22" fillId="0" borderId="0" xfId="244" quotePrefix="1" applyAlignment="1" applyProtection="1">
      <alignment horizontal="left"/>
    </xf>
    <xf numFmtId="168" fontId="57"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109" fillId="0" borderId="0" xfId="0" applyFont="1" applyAlignment="1">
      <alignment horizontal="left" vertical="top"/>
    </xf>
    <xf numFmtId="0" fontId="110" fillId="0" borderId="0" xfId="0" applyFont="1" applyAlignment="1">
      <alignment horizontal="left" vertical="top"/>
    </xf>
    <xf numFmtId="0" fontId="78" fillId="0" borderId="0" xfId="0" applyFont="1"/>
    <xf numFmtId="0" fontId="28" fillId="8" borderId="11" xfId="542" applyFont="1" applyFill="1" applyBorder="1" applyAlignment="1">
      <alignment horizontal="left"/>
    </xf>
    <xf numFmtId="0" fontId="28" fillId="8" borderId="11" xfId="542" applyFont="1" applyFill="1" applyBorder="1" applyAlignment="1">
      <alignment horizontal="center"/>
    </xf>
    <xf numFmtId="0" fontId="67" fillId="8" borderId="11" xfId="542" applyFont="1" applyFill="1" applyBorder="1" applyAlignment="1">
      <alignment horizontal="left"/>
    </xf>
    <xf numFmtId="0" fontId="67" fillId="0" borderId="11" xfId="542" applyFont="1" applyBorder="1" applyAlignment="1">
      <alignment horizontal="left"/>
    </xf>
    <xf numFmtId="0" fontId="28" fillId="0" borderId="0" xfId="271" applyFont="1" applyAlignment="1" applyProtection="1">
      <alignment horizontal="center" wrapText="1"/>
      <protection locked="0"/>
    </xf>
    <xf numFmtId="0" fontId="30" fillId="0" borderId="0" xfId="271" applyAlignment="1" applyProtection="1">
      <alignment vertical="top" wrapText="1"/>
      <protection locked="0"/>
    </xf>
    <xf numFmtId="0" fontId="28" fillId="0" borderId="0" xfId="271" applyFont="1" applyAlignment="1" applyProtection="1">
      <alignment vertical="top" wrapText="1"/>
      <protection locked="0"/>
    </xf>
    <xf numFmtId="0" fontId="21" fillId="0" borderId="0" xfId="0" applyFont="1" applyAlignment="1">
      <alignment horizontal="center"/>
    </xf>
    <xf numFmtId="0" fontId="35" fillId="0" borderId="8" xfId="569" applyFont="1" applyBorder="1" applyAlignment="1">
      <alignment vertical="top" wrapText="1"/>
    </xf>
    <xf numFmtId="0" fontId="35" fillId="0" borderId="0" xfId="569" applyFont="1" applyAlignment="1">
      <alignment vertical="top" wrapText="1"/>
    </xf>
    <xf numFmtId="0" fontId="59" fillId="2" borderId="11" xfId="569" applyFont="1" applyFill="1" applyBorder="1" applyAlignment="1">
      <alignment horizontal="left" vertical="top" wrapText="1"/>
    </xf>
    <xf numFmtId="6" fontId="57" fillId="4" borderId="11" xfId="569" applyNumberFormat="1" applyFont="1" applyFill="1" applyBorder="1" applyAlignment="1">
      <alignment vertical="top" wrapText="1"/>
    </xf>
    <xf numFmtId="0" fontId="57" fillId="0" borderId="8" xfId="569" applyFont="1" applyBorder="1" applyAlignment="1">
      <alignment vertical="top" wrapText="1"/>
    </xf>
    <xf numFmtId="0" fontId="57" fillId="0" borderId="0" xfId="569" applyFont="1" applyAlignment="1">
      <alignment vertical="top" wrapText="1"/>
    </xf>
    <xf numFmtId="6" fontId="57" fillId="0" borderId="11" xfId="569" applyNumberFormat="1" applyFont="1" applyBorder="1" applyAlignment="1">
      <alignment vertical="top" wrapText="1"/>
    </xf>
    <xf numFmtId="6" fontId="57" fillId="5" borderId="11" xfId="569" applyNumberFormat="1" applyFont="1" applyFill="1" applyBorder="1" applyAlignment="1" applyProtection="1">
      <alignment vertical="top" wrapText="1"/>
      <protection locked="0"/>
    </xf>
    <xf numFmtId="6" fontId="57" fillId="6" borderId="11" xfId="569" applyNumberFormat="1" applyFont="1" applyFill="1" applyBorder="1" applyAlignment="1">
      <alignment horizontal="center" vertical="top" wrapText="1"/>
    </xf>
    <xf numFmtId="0" fontId="57" fillId="0" borderId="11" xfId="569" applyFont="1" applyBorder="1" applyAlignment="1">
      <alignment horizontal="right" vertical="top" wrapText="1"/>
    </xf>
    <xf numFmtId="0" fontId="58" fillId="0" borderId="11" xfId="569" applyFont="1" applyBorder="1" applyAlignment="1">
      <alignment horizontal="right" vertical="top" wrapText="1"/>
    </xf>
    <xf numFmtId="0" fontId="57" fillId="0" borderId="11" xfId="569" applyFont="1" applyBorder="1" applyAlignment="1">
      <alignment horizontal="right" vertical="top"/>
    </xf>
    <xf numFmtId="6" fontId="58" fillId="0" borderId="11" xfId="569" applyNumberFormat="1" applyFont="1" applyBorder="1" applyAlignment="1">
      <alignment vertical="top" wrapText="1"/>
    </xf>
    <xf numFmtId="0" fontId="58" fillId="0" borderId="8" xfId="569" applyFont="1" applyBorder="1" applyAlignment="1">
      <alignment vertical="top" wrapText="1"/>
    </xf>
    <xf numFmtId="0" fontId="58" fillId="0" borderId="0" xfId="569" applyFont="1" applyAlignment="1">
      <alignment vertical="top" wrapText="1"/>
    </xf>
    <xf numFmtId="0" fontId="24" fillId="0" borderId="11" xfId="569" applyFont="1" applyBorder="1" applyAlignment="1">
      <alignment horizontal="right" vertical="top" wrapText="1"/>
    </xf>
    <xf numFmtId="0" fontId="58" fillId="0" borderId="0" xfId="569" applyFont="1" applyAlignment="1">
      <alignment horizontal="left" vertical="top"/>
    </xf>
    <xf numFmtId="6" fontId="57" fillId="0" borderId="0" xfId="569" applyNumberFormat="1" applyFont="1" applyAlignment="1">
      <alignment horizontal="left" vertical="top"/>
    </xf>
    <xf numFmtId="0" fontId="110" fillId="0" borderId="0" xfId="569" applyFont="1" applyAlignment="1">
      <alignment horizontal="left" vertical="top"/>
    </xf>
    <xf numFmtId="6" fontId="57" fillId="0" borderId="0" xfId="569" applyNumberFormat="1" applyFont="1" applyAlignment="1">
      <alignment vertical="top" wrapText="1"/>
    </xf>
    <xf numFmtId="0" fontId="57" fillId="0" borderId="0" xfId="569" applyFont="1" applyAlignment="1">
      <alignment horizontal="left" vertical="top"/>
    </xf>
    <xf numFmtId="0" fontId="57" fillId="0" borderId="12" xfId="569" applyFont="1" applyBorder="1" applyAlignment="1">
      <alignment vertical="top" wrapText="1"/>
    </xf>
    <xf numFmtId="0" fontId="28" fillId="0" borderId="0" xfId="569" applyFont="1" applyAlignment="1">
      <alignment horizontal="left" vertical="top"/>
    </xf>
    <xf numFmtId="0" fontId="113" fillId="0" borderId="0" xfId="569" applyFont="1" applyAlignment="1">
      <alignment horizontal="left" vertical="top"/>
    </xf>
    <xf numFmtId="0" fontId="68" fillId="0" borderId="0" xfId="569" applyFont="1" applyAlignment="1">
      <alignment horizontal="left" vertical="center"/>
    </xf>
    <xf numFmtId="0" fontId="36" fillId="0" borderId="0" xfId="569" applyFont="1" applyAlignment="1">
      <alignment vertical="top" wrapText="1"/>
    </xf>
    <xf numFmtId="0" fontId="36" fillId="0" borderId="12" xfId="569" applyFont="1" applyBorder="1" applyAlignment="1">
      <alignment vertical="top" wrapText="1"/>
    </xf>
    <xf numFmtId="0" fontId="36" fillId="0" borderId="8" xfId="569" applyFont="1" applyBorder="1" applyAlignment="1">
      <alignment vertical="top" wrapText="1"/>
    </xf>
    <xf numFmtId="0" fontId="57" fillId="0" borderId="0" xfId="569" applyFont="1" applyAlignment="1">
      <alignment vertical="top"/>
    </xf>
    <xf numFmtId="168" fontId="57" fillId="0" borderId="0" xfId="569" applyNumberFormat="1" applyFont="1" applyAlignment="1" applyProtection="1">
      <alignment horizontal="right" vertical="top" wrapText="1"/>
      <protection locked="0"/>
    </xf>
    <xf numFmtId="0" fontId="21" fillId="0" borderId="0" xfId="569" applyAlignment="1">
      <alignment vertical="top" wrapText="1"/>
    </xf>
    <xf numFmtId="0" fontId="21" fillId="0" borderId="0" xfId="569" applyAlignment="1">
      <alignment vertical="top"/>
    </xf>
    <xf numFmtId="0" fontId="57" fillId="0" borderId="0" xfId="569" applyFont="1" applyAlignment="1">
      <alignment horizontal="right" vertical="top" wrapText="1"/>
    </xf>
    <xf numFmtId="0" fontId="28" fillId="0" borderId="0" xfId="569" applyFont="1" applyAlignment="1">
      <alignment horizontal="left" vertical="top" wrapText="1"/>
    </xf>
    <xf numFmtId="168" fontId="57" fillId="0" borderId="0" xfId="569" applyNumberFormat="1" applyFont="1" applyAlignment="1">
      <alignment horizontal="right" vertical="top" wrapText="1"/>
    </xf>
    <xf numFmtId="0" fontId="21" fillId="0" borderId="0" xfId="569" applyAlignment="1" applyProtection="1">
      <alignment horizontal="left" vertical="top" wrapText="1"/>
      <protection locked="0"/>
    </xf>
    <xf numFmtId="0" fontId="21" fillId="0" borderId="0" xfId="569" applyAlignment="1">
      <alignment horizontal="right" vertical="top" wrapText="1"/>
    </xf>
    <xf numFmtId="0" fontId="21" fillId="0" borderId="0" xfId="569" applyAlignment="1">
      <alignment horizontal="left" vertical="top"/>
    </xf>
    <xf numFmtId="0" fontId="85" fillId="0" borderId="0" xfId="569" applyFont="1" applyAlignment="1">
      <alignment vertical="top" wrapText="1"/>
    </xf>
    <xf numFmtId="0" fontId="85" fillId="0" borderId="12" xfId="569" applyFont="1" applyBorder="1" applyAlignment="1">
      <alignment vertical="top" wrapText="1"/>
    </xf>
    <xf numFmtId="0" fontId="85" fillId="0" borderId="8" xfId="569" applyFont="1" applyBorder="1" applyAlignment="1">
      <alignment vertical="top" wrapText="1"/>
    </xf>
    <xf numFmtId="0" fontId="35" fillId="0" borderId="0" xfId="569" applyFont="1" applyAlignment="1">
      <alignment horizontal="right" vertical="top" wrapText="1"/>
    </xf>
    <xf numFmtId="0" fontId="85" fillId="0" borderId="0" xfId="569" applyFont="1" applyAlignment="1">
      <alignment horizontal="right" vertical="top" wrapText="1"/>
    </xf>
    <xf numFmtId="0" fontId="58" fillId="0" borderId="3" xfId="569" applyFont="1" applyBorder="1" applyAlignment="1">
      <alignment horizontal="left"/>
    </xf>
    <xf numFmtId="0" fontId="58" fillId="0" borderId="13" xfId="569" applyFont="1" applyBorder="1" applyAlignment="1">
      <alignment horizontal="center" wrapText="1"/>
    </xf>
    <xf numFmtId="0" fontId="58" fillId="0" borderId="8" xfId="569" applyFont="1" applyBorder="1" applyAlignment="1">
      <alignment horizontal="center" wrapText="1"/>
    </xf>
    <xf numFmtId="0" fontId="58" fillId="0" borderId="0" xfId="569" applyFont="1" applyAlignment="1">
      <alignment horizontal="center" wrapText="1"/>
    </xf>
    <xf numFmtId="0" fontId="21" fillId="0" borderId="0" xfId="569"/>
    <xf numFmtId="0" fontId="27" fillId="0" borderId="0" xfId="569" applyFont="1" applyAlignment="1">
      <alignment horizontal="center" vertical="center"/>
    </xf>
    <xf numFmtId="0" fontId="28" fillId="0" borderId="0" xfId="569" applyFont="1"/>
    <xf numFmtId="0" fontId="21" fillId="0" borderId="1" xfId="569" applyBorder="1"/>
    <xf numFmtId="0" fontId="21" fillId="0" borderId="2" xfId="569" applyBorder="1"/>
    <xf numFmtId="0" fontId="21" fillId="0" borderId="8" xfId="569" applyBorder="1"/>
    <xf numFmtId="0" fontId="21" fillId="0" borderId="9" xfId="569" applyBorder="1"/>
    <xf numFmtId="0" fontId="21" fillId="0" borderId="6" xfId="569" applyBorder="1"/>
    <xf numFmtId="0" fontId="29" fillId="0" borderId="0" xfId="569" applyFont="1"/>
    <xf numFmtId="0" fontId="21" fillId="0" borderId="7" xfId="569" applyBorder="1"/>
    <xf numFmtId="0" fontId="21" fillId="0" borderId="12" xfId="569" applyBorder="1"/>
    <xf numFmtId="0" fontId="21" fillId="0" borderId="10" xfId="569" applyBorder="1"/>
    <xf numFmtId="0" fontId="29" fillId="0" borderId="0" xfId="569" applyFont="1" applyAlignment="1">
      <alignment vertical="top" wrapText="1"/>
    </xf>
    <xf numFmtId="0" fontId="21" fillId="0" borderId="0" xfId="569" applyAlignment="1">
      <alignment horizontal="right"/>
    </xf>
    <xf numFmtId="0" fontId="21" fillId="0" borderId="0" xfId="569" applyAlignment="1">
      <alignment wrapText="1"/>
    </xf>
    <xf numFmtId="0" fontId="21" fillId="0" borderId="0" xfId="569" applyAlignment="1">
      <alignment vertical="center"/>
    </xf>
    <xf numFmtId="0" fontId="45" fillId="0" borderId="0" xfId="569" applyFont="1" applyAlignment="1">
      <alignment vertical="center" wrapText="1"/>
    </xf>
    <xf numFmtId="0" fontId="39" fillId="0" borderId="0" xfId="569" applyFont="1" applyAlignment="1">
      <alignment vertical="top" wrapText="1"/>
    </xf>
    <xf numFmtId="0" fontId="28" fillId="0" borderId="0" xfId="569" applyFont="1" applyAlignment="1">
      <alignment vertical="top" wrapText="1"/>
    </xf>
    <xf numFmtId="0" fontId="29" fillId="0" borderId="0" xfId="569" applyFont="1" applyAlignment="1">
      <alignment horizontal="left" vertical="top" wrapText="1"/>
    </xf>
    <xf numFmtId="164" fontId="21" fillId="0" borderId="0" xfId="569" applyNumberFormat="1" applyAlignment="1">
      <alignment horizontal="right"/>
    </xf>
    <xf numFmtId="168" fontId="21" fillId="0" borderId="0" xfId="569" applyNumberFormat="1" applyAlignment="1">
      <alignment horizontal="right"/>
    </xf>
    <xf numFmtId="0" fontId="111" fillId="0" borderId="0" xfId="569" applyFont="1" applyAlignment="1">
      <alignment horizontal="left" vertical="top" wrapText="1"/>
    </xf>
    <xf numFmtId="168" fontId="21" fillId="0" borderId="0" xfId="569" applyNumberFormat="1" applyAlignment="1">
      <alignment wrapText="1"/>
    </xf>
    <xf numFmtId="0" fontId="26" fillId="0" borderId="11" xfId="253" applyFont="1" applyBorder="1" applyAlignment="1">
      <alignment horizontal="center" wrapText="1"/>
    </xf>
    <xf numFmtId="0" fontId="26" fillId="0" borderId="0" xfId="253" applyFont="1" applyAlignment="1">
      <alignment horizontal="center" wrapText="1"/>
    </xf>
    <xf numFmtId="3" fontId="26" fillId="0" borderId="11" xfId="271" applyNumberFormat="1" applyFont="1" applyBorder="1"/>
    <xf numFmtId="3" fontId="26" fillId="0" borderId="0" xfId="271" applyNumberFormat="1" applyFont="1"/>
    <xf numFmtId="0" fontId="69" fillId="0" borderId="0" xfId="271" applyFont="1" applyAlignment="1">
      <alignment horizontal="left"/>
    </xf>
    <xf numFmtId="0" fontId="69" fillId="0" borderId="0" xfId="271" applyFont="1" applyAlignment="1">
      <alignment horizontal="right"/>
    </xf>
    <xf numFmtId="168" fontId="26" fillId="0" borderId="11" xfId="271" applyNumberFormat="1" applyFont="1" applyBorder="1"/>
    <xf numFmtId="168" fontId="26" fillId="0" borderId="0" xfId="271" applyNumberFormat="1" applyFont="1"/>
    <xf numFmtId="0" fontId="57" fillId="0" borderId="0" xfId="569" applyFont="1" applyAlignment="1">
      <alignment horizontal="left"/>
    </xf>
    <xf numFmtId="0" fontId="21" fillId="0" borderId="3" xfId="569" applyBorder="1"/>
    <xf numFmtId="0" fontId="112" fillId="0" borderId="0" xfId="1834"/>
    <xf numFmtId="0" fontId="0" fillId="0" borderId="0" xfId="0" applyAlignment="1">
      <alignment horizontal="left" vertical="top"/>
    </xf>
    <xf numFmtId="0" fontId="111" fillId="0" borderId="0" xfId="0" applyFont="1" applyAlignment="1">
      <alignment vertical="top" wrapText="1"/>
    </xf>
    <xf numFmtId="0" fontId="57" fillId="0" borderId="0" xfId="271" applyFont="1" applyAlignment="1">
      <alignment vertical="top" wrapText="1"/>
    </xf>
    <xf numFmtId="4" fontId="21" fillId="0" borderId="0" xfId="1192" applyNumberFormat="1" applyAlignment="1">
      <alignment horizontal="left" vertical="top" wrapText="1"/>
    </xf>
    <xf numFmtId="0" fontId="21" fillId="0" borderId="0" xfId="0" applyFont="1" applyAlignment="1">
      <alignment horizontal="left" vertical="top" wrapText="1"/>
    </xf>
    <xf numFmtId="0" fontId="28" fillId="0" borderId="12" xfId="543" applyFont="1" applyBorder="1" applyAlignment="1">
      <alignment horizontal="right"/>
    </xf>
    <xf numFmtId="0" fontId="40" fillId="0" borderId="0" xfId="543" applyFont="1" applyAlignment="1">
      <alignment horizontal="center"/>
    </xf>
    <xf numFmtId="4" fontId="21" fillId="0" borderId="0" xfId="569" applyNumberFormat="1" applyAlignment="1">
      <alignment horizontal="left"/>
    </xf>
    <xf numFmtId="0" fontId="21" fillId="0" borderId="0" xfId="569" applyAlignment="1">
      <alignment horizontal="left" vertical="top" wrapText="1"/>
    </xf>
    <xf numFmtId="0" fontId="21" fillId="0" borderId="0" xfId="569" applyAlignment="1">
      <alignment horizontal="left"/>
    </xf>
    <xf numFmtId="0" fontId="21" fillId="0" borderId="0" xfId="1192" applyAlignment="1">
      <alignment horizontal="left"/>
    </xf>
    <xf numFmtId="0" fontId="28" fillId="0" borderId="0" xfId="569" applyFont="1" applyAlignment="1">
      <alignment horizontal="left"/>
    </xf>
    <xf numFmtId="0" fontId="50" fillId="0" borderId="0" xfId="1192" applyFont="1"/>
    <xf numFmtId="0" fontId="57" fillId="0" borderId="11" xfId="0" applyFont="1" applyBorder="1" applyAlignment="1">
      <alignment horizontal="right" vertical="center"/>
    </xf>
    <xf numFmtId="0" fontId="21" fillId="0" borderId="0" xfId="1192" applyAlignment="1">
      <alignment horizontal="left" vertical="top" wrapText="1"/>
    </xf>
    <xf numFmtId="0" fontId="50" fillId="0" borderId="0" xfId="0" applyFont="1" applyAlignment="1">
      <alignment vertical="top" wrapText="1"/>
    </xf>
    <xf numFmtId="0" fontId="50" fillId="0" borderId="0" xfId="0" applyFont="1" applyAlignment="1">
      <alignment horizontal="left" vertical="top" wrapText="1"/>
    </xf>
    <xf numFmtId="6" fontId="58" fillId="0" borderId="0" xfId="569" applyNumberFormat="1" applyFont="1" applyAlignment="1">
      <alignment horizontal="right" vertical="top"/>
    </xf>
    <xf numFmtId="0" fontId="21" fillId="0" borderId="0" xfId="0" applyFont="1" applyAlignment="1">
      <alignment vertical="top" wrapText="1"/>
    </xf>
    <xf numFmtId="168" fontId="30" fillId="0" borderId="0" xfId="0" applyNumberFormat="1" applyFont="1" applyAlignment="1">
      <alignment horizontal="right"/>
    </xf>
    <xf numFmtId="168" fontId="30" fillId="0" borderId="28" xfId="540" applyNumberFormat="1" applyBorder="1" applyAlignment="1" applyProtection="1">
      <alignment horizontal="center"/>
    </xf>
    <xf numFmtId="168" fontId="30" fillId="0" borderId="29" xfId="540" applyNumberFormat="1" applyBorder="1" applyAlignment="1" applyProtection="1">
      <alignment horizontal="center"/>
    </xf>
    <xf numFmtId="168" fontId="30" fillId="0" borderId="30" xfId="540" applyNumberFormat="1" applyBorder="1" applyAlignment="1" applyProtection="1">
      <alignment horizontal="center"/>
    </xf>
    <xf numFmtId="168" fontId="30" fillId="0" borderId="31" xfId="540" applyNumberFormat="1" applyBorder="1" applyAlignment="1" applyProtection="1">
      <alignment horizontal="center"/>
    </xf>
    <xf numFmtId="168" fontId="30" fillId="0" borderId="32" xfId="540" applyNumberFormat="1" applyBorder="1" applyAlignment="1" applyProtection="1">
      <alignment horizontal="center"/>
    </xf>
    <xf numFmtId="168" fontId="30" fillId="0" borderId="33" xfId="540" applyNumberFormat="1" applyBorder="1" applyAlignment="1" applyProtection="1">
      <alignment horizontal="center"/>
    </xf>
    <xf numFmtId="168" fontId="30" fillId="0" borderId="34" xfId="540" applyNumberFormat="1" applyBorder="1" applyAlignment="1" applyProtection="1">
      <alignment horizontal="center"/>
    </xf>
    <xf numFmtId="168" fontId="30" fillId="0" borderId="35" xfId="540" applyNumberFormat="1" applyBorder="1" applyAlignment="1" applyProtection="1">
      <alignment horizontal="center"/>
    </xf>
    <xf numFmtId="168" fontId="30" fillId="0" borderId="36" xfId="540" applyNumberFormat="1" applyBorder="1" applyAlignment="1" applyProtection="1">
      <alignment horizontal="center"/>
    </xf>
    <xf numFmtId="168" fontId="30" fillId="0" borderId="37" xfId="540" applyNumberFormat="1" applyBorder="1" applyAlignment="1" applyProtection="1">
      <alignment horizontal="center"/>
    </xf>
    <xf numFmtId="168" fontId="30" fillId="0" borderId="38" xfId="540" applyNumberFormat="1" applyBorder="1" applyAlignment="1" applyProtection="1">
      <alignment horizontal="center"/>
    </xf>
    <xf numFmtId="168" fontId="30" fillId="0" borderId="39" xfId="540" applyNumberFormat="1" applyBorder="1" applyAlignment="1" applyProtection="1">
      <alignment horizontal="center"/>
    </xf>
    <xf numFmtId="168" fontId="30" fillId="0" borderId="40" xfId="540" applyNumberFormat="1" applyBorder="1" applyAlignment="1" applyProtection="1">
      <alignment horizontal="center"/>
    </xf>
    <xf numFmtId="168" fontId="30" fillId="0" borderId="0" xfId="540" applyNumberFormat="1" applyAlignment="1" applyProtection="1">
      <alignment horizontal="center"/>
    </xf>
    <xf numFmtId="168" fontId="30" fillId="0" borderId="14" xfId="540" applyNumberFormat="1" applyBorder="1" applyAlignment="1" applyProtection="1">
      <alignment horizontal="center"/>
    </xf>
    <xf numFmtId="168" fontId="30" fillId="0" borderId="41" xfId="540" applyNumberFormat="1" applyBorder="1" applyAlignment="1" applyProtection="1">
      <alignment horizontal="center"/>
    </xf>
    <xf numFmtId="168" fontId="30" fillId="0" borderId="42" xfId="540" applyNumberFormat="1" applyBorder="1" applyAlignment="1" applyProtection="1">
      <alignment horizontal="center"/>
    </xf>
    <xf numFmtId="168" fontId="30" fillId="0" borderId="43" xfId="540" applyNumberFormat="1" applyBorder="1" applyAlignment="1" applyProtection="1">
      <alignment horizontal="center"/>
    </xf>
    <xf numFmtId="168" fontId="30" fillId="0" borderId="44" xfId="540" applyNumberFormat="1" applyBorder="1" applyAlignment="1" applyProtection="1">
      <alignment horizontal="center"/>
    </xf>
    <xf numFmtId="0" fontId="21" fillId="0" borderId="0" xfId="1192"/>
    <xf numFmtId="0" fontId="21" fillId="0" borderId="0" xfId="0" applyFont="1" applyAlignment="1">
      <alignment wrapText="1"/>
    </xf>
    <xf numFmtId="0" fontId="50" fillId="0" borderId="0" xfId="0" applyFont="1" applyAlignment="1">
      <alignment horizontal="left" vertical="top"/>
    </xf>
    <xf numFmtId="0" fontId="50" fillId="0" borderId="0" xfId="0" applyFont="1" applyAlignment="1">
      <alignment vertical="top"/>
    </xf>
    <xf numFmtId="0" fontId="21" fillId="0" borderId="0" xfId="569" applyAlignment="1">
      <alignment horizontal="center"/>
    </xf>
    <xf numFmtId="0" fontId="39" fillId="0" borderId="0" xfId="569" applyFont="1" applyAlignment="1">
      <alignment horizontal="left"/>
    </xf>
    <xf numFmtId="0" fontId="39" fillId="0" borderId="0" xfId="569" applyFont="1" applyAlignment="1">
      <alignment horizontal="center"/>
    </xf>
    <xf numFmtId="49" fontId="28" fillId="0" borderId="0" xfId="569" applyNumberFormat="1" applyFont="1" applyAlignment="1">
      <alignment horizontal="center"/>
    </xf>
    <xf numFmtId="0" fontId="55" fillId="0" borderId="0" xfId="569" applyFont="1" applyAlignment="1">
      <alignment horizontal="center"/>
    </xf>
    <xf numFmtId="0" fontId="21" fillId="5" borderId="6" xfId="569" applyFill="1" applyBorder="1" applyProtection="1">
      <protection locked="0"/>
    </xf>
    <xf numFmtId="0" fontId="22" fillId="0" borderId="0" xfId="244" applyAlignment="1" applyProtection="1">
      <alignment horizontal="center"/>
    </xf>
    <xf numFmtId="49" fontId="21" fillId="0" borderId="0" xfId="569" applyNumberFormat="1" applyAlignment="1">
      <alignment horizontal="center"/>
    </xf>
    <xf numFmtId="0" fontId="21" fillId="0" borderId="0" xfId="569" applyAlignment="1">
      <alignment horizontal="center" vertical="center"/>
    </xf>
    <xf numFmtId="0" fontId="21" fillId="0" borderId="0" xfId="1192" applyAlignment="1">
      <alignment horizontal="center"/>
    </xf>
    <xf numFmtId="0" fontId="28" fillId="0" borderId="0" xfId="569" applyFont="1" applyAlignment="1">
      <alignment horizontal="center"/>
    </xf>
    <xf numFmtId="0" fontId="21" fillId="0" borderId="0" xfId="569" applyAlignment="1">
      <alignment horizontal="left" indent="4"/>
    </xf>
    <xf numFmtId="0" fontId="21" fillId="0" borderId="0" xfId="569" quotePrefix="1" applyAlignment="1">
      <alignment horizontal="left"/>
    </xf>
    <xf numFmtId="0" fontId="39" fillId="0" borderId="0" xfId="569" applyFont="1"/>
    <xf numFmtId="0" fontId="21" fillId="0" borderId="0" xfId="1192" applyAlignment="1" applyProtection="1">
      <alignment horizontal="left"/>
      <protection locked="0"/>
    </xf>
    <xf numFmtId="0" fontId="21" fillId="0" borderId="0" xfId="569" applyAlignment="1" applyProtection="1">
      <alignment horizontal="left"/>
      <protection locked="0"/>
    </xf>
    <xf numFmtId="49" fontId="21" fillId="0" borderId="0" xfId="1192" applyNumberFormat="1" applyAlignment="1">
      <alignment horizontal="center"/>
    </xf>
    <xf numFmtId="0" fontId="55" fillId="0" borderId="0" xfId="1192" applyFont="1" applyAlignment="1">
      <alignment horizontal="center"/>
    </xf>
    <xf numFmtId="0" fontId="28" fillId="0" borderId="0" xfId="1192" applyFont="1" applyAlignment="1">
      <alignment horizontal="left"/>
    </xf>
    <xf numFmtId="4" fontId="21" fillId="0" borderId="0" xfId="1192" applyNumberFormat="1" applyAlignment="1">
      <alignment horizontal="left"/>
    </xf>
    <xf numFmtId="0" fontId="28" fillId="0" borderId="0" xfId="569" quotePrefix="1" applyFont="1" applyAlignment="1">
      <alignment horizontal="center"/>
    </xf>
    <xf numFmtId="49" fontId="21" fillId="0" borderId="0" xfId="569" applyNumberFormat="1"/>
    <xf numFmtId="0" fontId="53" fillId="0" borderId="0" xfId="569" applyFont="1" applyAlignment="1">
      <alignment horizontal="left"/>
    </xf>
    <xf numFmtId="4" fontId="55" fillId="0" borderId="0" xfId="569" applyNumberFormat="1" applyFont="1" applyAlignment="1">
      <alignment horizontal="center"/>
    </xf>
    <xf numFmtId="4" fontId="21" fillId="0" borderId="0" xfId="569" applyNumberFormat="1" applyAlignment="1">
      <alignment horizontal="center"/>
    </xf>
    <xf numFmtId="4" fontId="21" fillId="0" borderId="0" xfId="569" applyNumberFormat="1"/>
    <xf numFmtId="0" fontId="51" fillId="0" borderId="0" xfId="569" applyFont="1" applyAlignment="1">
      <alignment horizontal="left"/>
    </xf>
    <xf numFmtId="0" fontId="22" fillId="0" borderId="0" xfId="244" applyNumberFormat="1" applyFill="1" applyAlignment="1" applyProtection="1">
      <alignment horizontal="left"/>
      <protection locked="0"/>
    </xf>
    <xf numFmtId="0" fontId="57" fillId="0" borderId="11" xfId="0" applyFont="1" applyBorder="1" applyAlignment="1" applyProtection="1">
      <alignment horizontal="right" vertical="top" wrapText="1"/>
      <protection locked="0"/>
    </xf>
    <xf numFmtId="168" fontId="60" fillId="44" borderId="11" xfId="0" applyNumberFormat="1" applyFont="1" applyFill="1" applyBorder="1" applyAlignment="1">
      <alignment vertical="top" wrapText="1"/>
    </xf>
    <xf numFmtId="0" fontId="21" fillId="0" borderId="11" xfId="271" applyFont="1" applyBorder="1" applyAlignment="1">
      <alignment horizontal="right" vertical="top" wrapText="1"/>
    </xf>
    <xf numFmtId="0" fontId="29" fillId="0" borderId="0" xfId="569" applyFont="1" applyAlignment="1">
      <alignment horizontal="left"/>
    </xf>
    <xf numFmtId="0" fontId="109" fillId="0" borderId="0" xfId="0" applyFont="1"/>
    <xf numFmtId="0" fontId="120" fillId="0" borderId="0" xfId="0" applyFont="1" applyAlignment="1">
      <alignment horizontal="left" vertical="top"/>
    </xf>
    <xf numFmtId="0" fontId="121" fillId="0" borderId="0" xfId="0" applyFont="1" applyAlignment="1">
      <alignment horizontal="left" vertical="top"/>
    </xf>
    <xf numFmtId="168" fontId="29" fillId="0" borderId="0" xfId="0" applyNumberFormat="1" applyFont="1" applyAlignment="1">
      <alignment horizontal="left" vertical="top" wrapText="1"/>
    </xf>
    <xf numFmtId="168" fontId="57" fillId="5" borderId="11" xfId="0" applyNumberFormat="1" applyFont="1" applyFill="1" applyBorder="1" applyAlignment="1">
      <alignment vertical="top" wrapText="1"/>
    </xf>
    <xf numFmtId="0" fontId="21" fillId="0" borderId="0" xfId="271" applyFont="1" applyAlignment="1">
      <alignment horizontal="left" vertical="top"/>
    </xf>
    <xf numFmtId="0" fontId="57" fillId="0" borderId="0" xfId="569" applyFont="1"/>
    <xf numFmtId="0" fontId="21" fillId="0" borderId="0" xfId="0" applyFont="1" applyAlignment="1">
      <alignment horizontal="left" vertical="top"/>
    </xf>
    <xf numFmtId="4" fontId="21" fillId="0" borderId="0" xfId="1192" applyNumberFormat="1" applyAlignment="1">
      <alignment vertical="top" wrapText="1"/>
    </xf>
    <xf numFmtId="0" fontId="28" fillId="0" borderId="16" xfId="271" applyFont="1" applyBorder="1"/>
    <xf numFmtId="0" fontId="64" fillId="0" borderId="0" xfId="569" applyFont="1"/>
    <xf numFmtId="0" fontId="45" fillId="0" borderId="0" xfId="569" applyFont="1"/>
    <xf numFmtId="0" fontId="21" fillId="0" borderId="0" xfId="1192" applyAlignment="1">
      <alignment vertical="top" wrapText="1"/>
    </xf>
    <xf numFmtId="49" fontId="21" fillId="0" borderId="0" xfId="1192" applyNumberFormat="1" applyAlignment="1">
      <alignment vertical="top" wrapText="1"/>
    </xf>
    <xf numFmtId="0" fontId="59" fillId="0" borderId="9" xfId="543" applyFont="1" applyBorder="1" applyAlignment="1">
      <alignment vertical="top"/>
    </xf>
    <xf numFmtId="0" fontId="21" fillId="0" borderId="0" xfId="0" applyFont="1" applyAlignment="1">
      <alignment vertical="center"/>
    </xf>
    <xf numFmtId="0" fontId="122" fillId="0" borderId="0" xfId="0" applyFont="1"/>
    <xf numFmtId="3" fontId="109" fillId="0" borderId="0" xfId="0" applyNumberFormat="1" applyFont="1"/>
    <xf numFmtId="0" fontId="109" fillId="0" borderId="0" xfId="0" applyFont="1" applyAlignment="1">
      <alignment horizontal="left"/>
    </xf>
    <xf numFmtId="168" fontId="123" fillId="0" borderId="0" xfId="0" applyNumberFormat="1" applyFont="1" applyAlignment="1">
      <alignment horizontal="left" vertical="top"/>
    </xf>
    <xf numFmtId="0" fontId="109" fillId="0" borderId="0" xfId="0" applyFont="1" applyAlignment="1">
      <alignment horizontal="left" vertical="center"/>
    </xf>
    <xf numFmtId="0" fontId="125" fillId="0" borderId="0" xfId="0" applyFont="1"/>
    <xf numFmtId="172" fontId="21" fillId="0" borderId="8" xfId="543" applyNumberFormat="1" applyBorder="1"/>
    <xf numFmtId="0" fontId="21" fillId="0" borderId="8" xfId="4495" applyFont="1" applyBorder="1"/>
    <xf numFmtId="0" fontId="21" fillId="0" borderId="0" xfId="4495" applyFont="1"/>
    <xf numFmtId="0" fontId="27" fillId="0" borderId="0" xfId="4495" applyFont="1" applyAlignment="1">
      <alignment horizontal="center" vertical="center"/>
    </xf>
    <xf numFmtId="0" fontId="28" fillId="0" borderId="0" xfId="4495" applyFont="1" applyAlignment="1">
      <alignment horizontal="left"/>
    </xf>
    <xf numFmtId="0" fontId="28" fillId="0" borderId="0" xfId="4495" applyFont="1"/>
    <xf numFmtId="0" fontId="31" fillId="0" borderId="0" xfId="4495" applyFont="1" applyAlignment="1">
      <alignment horizontal="center" vertical="center"/>
    </xf>
    <xf numFmtId="0" fontId="31" fillId="0" borderId="27" xfId="4495" applyFont="1" applyBorder="1" applyAlignment="1">
      <alignment horizontal="center" vertical="center"/>
    </xf>
    <xf numFmtId="0" fontId="31" fillId="0" borderId="46" xfId="4495" applyFont="1" applyBorder="1" applyAlignment="1">
      <alignment horizontal="center" vertical="center"/>
    </xf>
    <xf numFmtId="0" fontId="28" fillId="0" borderId="0" xfId="4495" applyFont="1" applyAlignment="1">
      <alignment horizontal="right"/>
    </xf>
    <xf numFmtId="0" fontId="21" fillId="0" borderId="0" xfId="1192" quotePrefix="1" applyAlignment="1">
      <alignment horizontal="center"/>
    </xf>
    <xf numFmtId="0" fontId="51" fillId="0" borderId="0" xfId="4495" applyFont="1" applyAlignment="1">
      <alignment horizontal="left" vertical="center"/>
    </xf>
    <xf numFmtId="49" fontId="29" fillId="0" borderId="0" xfId="4495" applyNumberFormat="1" applyFont="1" applyAlignment="1">
      <alignment horizontal="left" vertical="top"/>
    </xf>
    <xf numFmtId="0" fontId="21" fillId="0" borderId="47" xfId="4495" applyFont="1" applyBorder="1" applyAlignment="1">
      <alignment horizontal="left" vertical="center"/>
    </xf>
    <xf numFmtId="0" fontId="31" fillId="0" borderId="48" xfId="4495" applyFont="1" applyBorder="1" applyAlignment="1">
      <alignment horizontal="center" vertical="center"/>
    </xf>
    <xf numFmtId="0" fontId="29" fillId="0" borderId="0" xfId="4495" applyFont="1"/>
    <xf numFmtId="0" fontId="29" fillId="0" borderId="0" xfId="4495" applyFont="1" applyAlignment="1">
      <alignment horizontal="left" vertical="top"/>
    </xf>
    <xf numFmtId="0" fontId="126" fillId="0" borderId="0" xfId="4496" applyFont="1" applyAlignment="1">
      <alignment horizontal="left" vertical="top" wrapText="1"/>
    </xf>
    <xf numFmtId="0" fontId="126" fillId="0" borderId="54" xfId="4496" applyFont="1" applyBorder="1" applyAlignment="1">
      <alignment horizontal="left" vertical="top" wrapText="1"/>
    </xf>
    <xf numFmtId="0" fontId="21" fillId="0" borderId="0" xfId="4495" applyFont="1" applyAlignment="1">
      <alignment horizontal="left" vertical="center"/>
    </xf>
    <xf numFmtId="0" fontId="127" fillId="0" borderId="0" xfId="4496" applyFont="1" applyAlignment="1">
      <alignment vertical="center"/>
    </xf>
    <xf numFmtId="0" fontId="126" fillId="0" borderId="0" xfId="4496" applyFont="1"/>
    <xf numFmtId="0" fontId="126" fillId="0" borderId="0" xfId="4496" applyFont="1" applyAlignment="1">
      <alignment vertical="center"/>
    </xf>
    <xf numFmtId="0" fontId="128" fillId="0" borderId="0" xfId="4496" applyFont="1" applyAlignment="1">
      <alignment vertical="center"/>
    </xf>
    <xf numFmtId="0" fontId="21" fillId="0" borderId="0" xfId="4496" applyFont="1" applyAlignment="1">
      <alignment vertical="center"/>
    </xf>
    <xf numFmtId="0" fontId="29" fillId="0" borderId="3" xfId="4495" applyFont="1" applyBorder="1" applyAlignment="1">
      <alignment vertical="top" wrapText="1"/>
    </xf>
    <xf numFmtId="0" fontId="29" fillId="0" borderId="4" xfId="4495" applyFont="1" applyBorder="1" applyAlignment="1">
      <alignment vertical="top" wrapText="1"/>
    </xf>
    <xf numFmtId="164" fontId="124" fillId="0" borderId="4" xfId="4495" applyNumberFormat="1" applyBorder="1" applyAlignment="1">
      <alignment horizontal="right"/>
    </xf>
    <xf numFmtId="0" fontId="29" fillId="0" borderId="4" xfId="4495" applyFont="1" applyBorder="1"/>
    <xf numFmtId="0" fontId="28" fillId="0" borderId="5" xfId="4495" applyFont="1" applyBorder="1" applyAlignment="1">
      <alignment horizontal="right"/>
    </xf>
    <xf numFmtId="0" fontId="21" fillId="0" borderId="16" xfId="4495" applyFont="1" applyBorder="1"/>
    <xf numFmtId="0" fontId="21" fillId="0" borderId="16" xfId="4495" applyFont="1" applyBorder="1" applyAlignment="1">
      <alignment horizontal="left" vertical="top"/>
    </xf>
    <xf numFmtId="0" fontId="29" fillId="0" borderId="16" xfId="4495" applyFont="1" applyBorder="1" applyAlignment="1">
      <alignment horizontal="left" vertical="top" wrapText="1"/>
    </xf>
    <xf numFmtId="0" fontId="29" fillId="0" borderId="45" xfId="4495" applyFont="1" applyBorder="1" applyAlignment="1">
      <alignment horizontal="left" vertical="top" wrapText="1"/>
    </xf>
    <xf numFmtId="0" fontId="124" fillId="0" borderId="0" xfId="4495"/>
    <xf numFmtId="0" fontId="22" fillId="0" borderId="0" xfId="244" applyFill="1" applyBorder="1" applyAlignment="1" applyProtection="1">
      <alignment horizontal="left" vertical="top"/>
    </xf>
    <xf numFmtId="0" fontId="22" fillId="0" borderId="0" xfId="244" applyFill="1" applyBorder="1" applyAlignment="1" applyProtection="1">
      <alignment horizontal="left" vertical="top" wrapText="1"/>
    </xf>
    <xf numFmtId="0" fontId="29" fillId="0" borderId="0" xfId="4495" applyFont="1" applyAlignment="1">
      <alignment horizontal="left" vertical="top" wrapText="1"/>
    </xf>
    <xf numFmtId="0" fontId="29" fillId="0" borderId="0" xfId="4495" applyFont="1" applyAlignment="1">
      <alignment horizontal="right" vertical="top"/>
    </xf>
    <xf numFmtId="0" fontId="21" fillId="0" borderId="0" xfId="4495" applyFont="1" applyAlignment="1">
      <alignment vertical="center" wrapText="1"/>
    </xf>
    <xf numFmtId="0" fontId="126" fillId="0" borderId="53" xfId="4496" applyFont="1" applyBorder="1" applyAlignment="1">
      <alignment vertical="top" wrapText="1"/>
    </xf>
    <xf numFmtId="0" fontId="126" fillId="0" borderId="0" xfId="4496" applyFont="1" applyAlignment="1">
      <alignment vertical="top" wrapText="1"/>
    </xf>
    <xf numFmtId="10" fontId="126" fillId="0" borderId="0" xfId="4496" applyNumberFormat="1" applyFont="1" applyAlignment="1">
      <alignment vertical="top" wrapText="1"/>
    </xf>
    <xf numFmtId="0" fontId="126" fillId="0" borderId="54" xfId="4496" applyFont="1" applyBorder="1" applyAlignment="1">
      <alignment vertical="top" wrapText="1"/>
    </xf>
    <xf numFmtId="0" fontId="126" fillId="0" borderId="0" xfId="4496" applyFont="1" applyAlignment="1">
      <alignment vertical="top"/>
    </xf>
    <xf numFmtId="165" fontId="126" fillId="0" borderId="0" xfId="4496" applyNumberFormat="1" applyFont="1" applyAlignment="1">
      <alignment vertical="top" wrapText="1"/>
    </xf>
    <xf numFmtId="0" fontId="28" fillId="0" borderId="57" xfId="4495" applyFont="1" applyBorder="1"/>
    <xf numFmtId="0" fontId="28" fillId="0" borderId="58" xfId="4495" applyFont="1" applyBorder="1"/>
    <xf numFmtId="0" fontId="28" fillId="0" borderId="58" xfId="4495" applyFont="1" applyBorder="1" applyAlignment="1">
      <alignment horizontal="right"/>
    </xf>
    <xf numFmtId="0" fontId="28" fillId="0" borderId="59" xfId="4495" applyFont="1" applyBorder="1" applyAlignment="1">
      <alignment horizontal="right"/>
    </xf>
    <xf numFmtId="0" fontId="126" fillId="0" borderId="53" xfId="4496" applyFont="1" applyBorder="1" applyAlignment="1">
      <alignment horizontal="left" vertical="top" wrapText="1"/>
    </xf>
    <xf numFmtId="0" fontId="126" fillId="0" borderId="0" xfId="4496" applyFont="1" applyAlignment="1">
      <alignment horizontal="left" vertical="top"/>
    </xf>
    <xf numFmtId="0" fontId="31" fillId="0" borderId="57" xfId="4495" applyFont="1" applyBorder="1" applyAlignment="1">
      <alignment horizontal="center" vertical="center"/>
    </xf>
    <xf numFmtId="0" fontId="31" fillId="0" borderId="58" xfId="4495" applyFont="1" applyBorder="1" applyAlignment="1">
      <alignment horizontal="center" vertical="center"/>
    </xf>
    <xf numFmtId="0" fontId="31" fillId="0" borderId="59" xfId="4495" applyFont="1" applyBorder="1" applyAlignment="1">
      <alignment horizontal="center" vertical="center"/>
    </xf>
    <xf numFmtId="0" fontId="28" fillId="0" borderId="0" xfId="4495" applyFont="1" applyAlignment="1">
      <alignment horizontal="center"/>
    </xf>
    <xf numFmtId="0" fontId="28" fillId="0" borderId="8" xfId="4495" applyFont="1" applyBorder="1"/>
    <xf numFmtId="0" fontId="29" fillId="0" borderId="0" xfId="4495" applyFont="1" applyAlignment="1">
      <alignment horizontal="left"/>
    </xf>
    <xf numFmtId="0" fontId="28" fillId="0" borderId="0" xfId="4495" applyFont="1" applyAlignment="1">
      <alignment horizontal="center" vertical="top"/>
    </xf>
    <xf numFmtId="0" fontId="21" fillId="0" borderId="0" xfId="4495" applyFont="1" applyAlignment="1">
      <alignment horizontal="center"/>
    </xf>
    <xf numFmtId="0" fontId="37" fillId="0" borderId="0" xfId="4495" applyFont="1"/>
    <xf numFmtId="0" fontId="29" fillId="0" borderId="8" xfId="4495" applyFont="1" applyBorder="1"/>
    <xf numFmtId="0" fontId="57" fillId="0" borderId="8" xfId="4495" applyFont="1" applyBorder="1"/>
    <xf numFmtId="1" fontId="21" fillId="0" borderId="0" xfId="1192" applyNumberFormat="1"/>
    <xf numFmtId="0" fontId="21" fillId="0" borderId="3" xfId="4495" applyFont="1" applyBorder="1"/>
    <xf numFmtId="0" fontId="21" fillId="0" borderId="4" xfId="4495" applyFont="1" applyBorder="1"/>
    <xf numFmtId="0" fontId="21" fillId="0" borderId="0" xfId="1192" applyAlignment="1">
      <alignment wrapText="1"/>
    </xf>
    <xf numFmtId="0" fontId="29" fillId="0" borderId="0" xfId="4495" applyFont="1" applyAlignment="1">
      <alignment vertical="top" wrapText="1"/>
    </xf>
    <xf numFmtId="0" fontId="29" fillId="0" borderId="0" xfId="1192" applyFont="1"/>
    <xf numFmtId="0" fontId="21" fillId="0" borderId="0" xfId="4495" applyFont="1" applyAlignment="1">
      <alignment horizontal="left"/>
    </xf>
    <xf numFmtId="0" fontId="29" fillId="0" borderId="3" xfId="4495" applyFont="1" applyBorder="1"/>
    <xf numFmtId="0" fontId="21" fillId="0" borderId="4" xfId="4495" applyFont="1" applyBorder="1" applyAlignment="1">
      <alignment horizontal="right"/>
    </xf>
    <xf numFmtId="1" fontId="21" fillId="0" borderId="0" xfId="4495" applyNumberFormat="1" applyFont="1" applyAlignment="1">
      <alignment horizontal="center"/>
    </xf>
    <xf numFmtId="0" fontId="57" fillId="0" borderId="0" xfId="4495" applyFont="1"/>
    <xf numFmtId="0" fontId="21" fillId="0" borderId="0" xfId="4495" applyFont="1" applyAlignment="1">
      <alignment horizontal="right"/>
    </xf>
    <xf numFmtId="0" fontId="29" fillId="0" borderId="0" xfId="4495" applyFont="1" applyAlignment="1">
      <alignment vertical="top"/>
    </xf>
    <xf numFmtId="0" fontId="29" fillId="0" borderId="27" xfId="4495" applyFont="1" applyBorder="1"/>
    <xf numFmtId="0" fontId="28" fillId="0" borderId="0" xfId="4495" applyFont="1" applyAlignment="1">
      <alignment vertical="top"/>
    </xf>
    <xf numFmtId="0" fontId="39" fillId="0" borderId="0" xfId="4495" applyFont="1" applyAlignment="1">
      <alignment vertical="top" wrapText="1"/>
    </xf>
    <xf numFmtId="0" fontId="28" fillId="0" borderId="0" xfId="4495" applyFont="1" applyAlignment="1">
      <alignment horizontal="left" vertical="top" wrapText="1"/>
    </xf>
    <xf numFmtId="0" fontId="21" fillId="0" borderId="0" xfId="4495" applyFont="1" applyAlignment="1">
      <alignment horizontal="left" vertical="top"/>
    </xf>
    <xf numFmtId="0" fontId="39" fillId="0" borderId="0" xfId="4495" applyFont="1" applyAlignment="1">
      <alignment vertical="top"/>
    </xf>
    <xf numFmtId="0" fontId="21" fillId="0" borderId="10" xfId="4495" applyFont="1" applyBorder="1" applyAlignment="1">
      <alignment horizontal="center"/>
    </xf>
    <xf numFmtId="0" fontId="21" fillId="0" borderId="16" xfId="4495" applyFont="1" applyBorder="1" applyAlignment="1">
      <alignment horizontal="center"/>
    </xf>
    <xf numFmtId="0" fontId="37" fillId="0" borderId="16" xfId="4495" applyFont="1" applyBorder="1"/>
    <xf numFmtId="0" fontId="29" fillId="0" borderId="16" xfId="4495" applyFont="1" applyBorder="1"/>
    <xf numFmtId="0" fontId="21" fillId="0" borderId="0" xfId="4496" applyFont="1" applyAlignment="1">
      <alignment vertical="top" wrapText="1"/>
    </xf>
    <xf numFmtId="0" fontId="28" fillId="0" borderId="0" xfId="1192" applyFont="1" applyAlignment="1">
      <alignment horizontal="right"/>
    </xf>
    <xf numFmtId="0" fontId="21" fillId="0" borderId="0" xfId="4496" applyFont="1"/>
    <xf numFmtId="0" fontId="21" fillId="0" borderId="0" xfId="4496" applyFont="1" applyAlignment="1">
      <alignment horizontal="left"/>
    </xf>
    <xf numFmtId="0" fontId="21" fillId="0" borderId="0" xfId="4496" applyFont="1" applyAlignment="1">
      <alignment horizontal="right"/>
    </xf>
    <xf numFmtId="0" fontId="29" fillId="0" borderId="0" xfId="4496" applyFont="1" applyAlignment="1">
      <alignment vertical="top" wrapText="1"/>
    </xf>
    <xf numFmtId="0" fontId="21" fillId="0" borderId="4" xfId="4496" applyFont="1" applyBorder="1"/>
    <xf numFmtId="0" fontId="28" fillId="0" borderId="4" xfId="4496" applyFont="1" applyBorder="1" applyAlignment="1">
      <alignment horizontal="right"/>
    </xf>
    <xf numFmtId="0" fontId="29" fillId="0" borderId="27" xfId="4495" applyFont="1" applyBorder="1" applyAlignment="1">
      <alignment horizontal="left" vertical="top"/>
    </xf>
    <xf numFmtId="0" fontId="21" fillId="0" borderId="27" xfId="4495" applyFont="1" applyBorder="1" applyAlignment="1">
      <alignment horizontal="left" vertical="top"/>
    </xf>
    <xf numFmtId="0" fontId="28" fillId="0" borderId="27" xfId="4495" applyFont="1" applyBorder="1" applyAlignment="1">
      <alignment horizontal="right"/>
    </xf>
    <xf numFmtId="0" fontId="21" fillId="0" borderId="27" xfId="4495" applyFont="1" applyBorder="1" applyAlignment="1">
      <alignment horizontal="center"/>
    </xf>
    <xf numFmtId="0" fontId="21" fillId="0" borderId="46" xfId="4495" applyFont="1" applyBorder="1" applyAlignment="1">
      <alignment horizontal="center"/>
    </xf>
    <xf numFmtId="164" fontId="29" fillId="0" borderId="0" xfId="4495" applyNumberFormat="1" applyFont="1" applyAlignment="1">
      <alignment horizontal="left" vertical="top" wrapText="1"/>
    </xf>
    <xf numFmtId="0" fontId="32" fillId="0" borderId="0" xfId="4495" applyFont="1"/>
    <xf numFmtId="0" fontId="29" fillId="0" borderId="0" xfId="4495" applyFont="1" applyAlignment="1">
      <alignment horizontal="right"/>
    </xf>
    <xf numFmtId="0" fontId="21" fillId="0" borderId="27" xfId="543" applyBorder="1"/>
    <xf numFmtId="0" fontId="21" fillId="0" borderId="46" xfId="543" applyBorder="1"/>
    <xf numFmtId="0" fontId="28" fillId="0" borderId="0" xfId="4495" applyFont="1" applyAlignment="1">
      <alignment horizontal="left" vertical="top"/>
    </xf>
    <xf numFmtId="1" fontId="124" fillId="0" borderId="0" xfId="4495" applyNumberFormat="1"/>
    <xf numFmtId="0" fontId="21" fillId="0" borderId="0" xfId="4495" applyFont="1" applyAlignment="1">
      <alignment vertical="top" wrapText="1"/>
    </xf>
    <xf numFmtId="0" fontId="21" fillId="0" borderId="0" xfId="4495" applyFont="1" applyAlignment="1">
      <alignment horizontal="left" vertical="top" wrapText="1"/>
    </xf>
    <xf numFmtId="0" fontId="21" fillId="0" borderId="50" xfId="4495" applyFont="1" applyBorder="1" applyAlignment="1">
      <alignment vertical="top"/>
    </xf>
    <xf numFmtId="1" fontId="29" fillId="0" borderId="8" xfId="4495" applyNumberFormat="1" applyFont="1" applyBorder="1"/>
    <xf numFmtId="0" fontId="21" fillId="0" borderId="0" xfId="543" applyAlignment="1">
      <alignment vertical="top"/>
    </xf>
    <xf numFmtId="0" fontId="29" fillId="0" borderId="51" xfId="4495" applyFont="1" applyBorder="1" applyAlignment="1">
      <alignment horizontal="left" vertical="top"/>
    </xf>
    <xf numFmtId="0" fontId="29" fillId="0" borderId="52" xfId="4495" applyFont="1" applyBorder="1" applyAlignment="1">
      <alignment horizontal="left" vertical="top"/>
    </xf>
    <xf numFmtId="0" fontId="124" fillId="0" borderId="0" xfId="4495" applyAlignment="1" applyProtection="1">
      <alignment horizontal="center"/>
      <protection locked="0"/>
    </xf>
    <xf numFmtId="0" fontId="21" fillId="0" borderId="53" xfId="4495" applyFont="1" applyBorder="1" applyAlignment="1">
      <alignment vertical="top"/>
    </xf>
    <xf numFmtId="0" fontId="21" fillId="0" borderId="54" xfId="4495" applyFont="1" applyBorder="1" applyAlignment="1">
      <alignment vertical="top" wrapText="1"/>
    </xf>
    <xf numFmtId="0" fontId="65" fillId="0" borderId="53" xfId="4495" applyFont="1" applyBorder="1"/>
    <xf numFmtId="0" fontId="29" fillId="0" borderId="54" xfId="4495" applyFont="1" applyBorder="1" applyAlignment="1">
      <alignment horizontal="left" vertical="top"/>
    </xf>
    <xf numFmtId="0" fontId="21" fillId="0" borderId="53" xfId="4495" applyFont="1" applyBorder="1" applyAlignment="1">
      <alignment vertical="center" wrapText="1"/>
    </xf>
    <xf numFmtId="0" fontId="65" fillId="0" borderId="57" xfId="4495" applyFont="1" applyBorder="1"/>
    <xf numFmtId="0" fontId="29" fillId="0" borderId="58" xfId="4495" applyFont="1" applyBorder="1" applyAlignment="1">
      <alignment horizontal="left" vertical="top"/>
    </xf>
    <xf numFmtId="0" fontId="29" fillId="0" borderId="12" xfId="4495" applyFont="1" applyBorder="1"/>
    <xf numFmtId="0" fontId="21" fillId="0" borderId="57" xfId="4495" applyFont="1" applyBorder="1" applyAlignment="1">
      <alignment vertical="center"/>
    </xf>
    <xf numFmtId="0" fontId="21" fillId="0" borderId="58" xfId="4495" applyFont="1" applyBorder="1" applyAlignment="1">
      <alignment vertical="top"/>
    </xf>
    <xf numFmtId="0" fontId="21" fillId="0" borderId="59" xfId="4495" applyFont="1" applyBorder="1" applyAlignment="1">
      <alignment vertical="top"/>
    </xf>
    <xf numFmtId="0" fontId="21" fillId="0" borderId="0" xfId="4495" applyFont="1" applyAlignment="1">
      <alignment vertical="top"/>
    </xf>
    <xf numFmtId="0" fontId="29" fillId="0" borderId="4" xfId="4495" applyFont="1" applyBorder="1" applyAlignment="1">
      <alignment horizontal="left" vertical="top"/>
    </xf>
    <xf numFmtId="0" fontId="21" fillId="0" borderId="4" xfId="4495" applyFont="1" applyBorder="1" applyAlignment="1">
      <alignment horizontal="left" vertical="top"/>
    </xf>
    <xf numFmtId="0" fontId="21" fillId="0" borderId="2" xfId="4495" applyFont="1" applyBorder="1"/>
    <xf numFmtId="0" fontId="29" fillId="0" borderId="2" xfId="4495" applyFont="1" applyBorder="1"/>
    <xf numFmtId="0" fontId="21" fillId="0" borderId="2" xfId="4495" applyFont="1" applyBorder="1" applyAlignment="1">
      <alignment horizontal="center"/>
    </xf>
    <xf numFmtId="0" fontId="29" fillId="0" borderId="7" xfId="4495" applyFont="1" applyBorder="1"/>
    <xf numFmtId="0" fontId="37" fillId="0" borderId="0" xfId="4495" applyFont="1" applyAlignment="1">
      <alignment horizontal="right"/>
    </xf>
    <xf numFmtId="0" fontId="129" fillId="0" borderId="0" xfId="4495" applyFont="1" applyAlignment="1">
      <alignment horizontal="left" vertical="top" wrapText="1"/>
    </xf>
    <xf numFmtId="0" fontId="37" fillId="0" borderId="0" xfId="4495" applyFont="1" applyAlignment="1">
      <alignment horizontal="left" vertical="top"/>
    </xf>
    <xf numFmtId="0" fontId="29" fillId="0" borderId="0" xfId="4495" quotePrefix="1" applyFont="1" applyAlignment="1">
      <alignment horizontal="right"/>
    </xf>
    <xf numFmtId="0" fontId="21" fillId="0" borderId="0" xfId="4497"/>
    <xf numFmtId="0" fontId="29" fillId="0" borderId="0" xfId="4495" applyFont="1" applyAlignment="1">
      <alignment horizontal="left" vertical="top" wrapText="1" shrinkToFit="1"/>
    </xf>
    <xf numFmtId="0" fontId="124" fillId="0" borderId="0" xfId="4495" applyAlignment="1">
      <alignment vertical="top" wrapText="1"/>
    </xf>
    <xf numFmtId="0" fontId="29" fillId="0" borderId="4" xfId="4495" applyFont="1" applyBorder="1" applyAlignment="1">
      <alignment horizontal="left" vertical="top" wrapText="1" shrinkToFit="1"/>
    </xf>
    <xf numFmtId="0" fontId="37" fillId="0" borderId="8" xfId="4495" applyFont="1" applyBorder="1"/>
    <xf numFmtId="0" fontId="29" fillId="0" borderId="0" xfId="4495" applyFont="1" applyAlignment="1">
      <alignment horizontal="center"/>
    </xf>
    <xf numFmtId="0" fontId="29" fillId="0" borderId="0" xfId="4495" quotePrefix="1" applyFont="1"/>
    <xf numFmtId="0" fontId="29" fillId="0" borderId="0" xfId="4495" applyFont="1" applyAlignment="1">
      <alignment horizontal="left" vertical="top" shrinkToFit="1"/>
    </xf>
    <xf numFmtId="0" fontId="51" fillId="0" borderId="0" xfId="4495" applyFont="1"/>
    <xf numFmtId="0" fontId="29" fillId="0" borderId="3" xfId="4495" applyFont="1" applyBorder="1" applyAlignment="1">
      <alignment horizontal="center"/>
    </xf>
    <xf numFmtId="0" fontId="124" fillId="0" borderId="8" xfId="4495" applyBorder="1"/>
    <xf numFmtId="0" fontId="28" fillId="0" borderId="8" xfId="4495" applyFont="1" applyBorder="1" applyAlignment="1">
      <alignment vertical="top"/>
    </xf>
    <xf numFmtId="0" fontId="124" fillId="0" borderId="0" xfId="4495" applyAlignment="1">
      <alignment vertical="top"/>
    </xf>
    <xf numFmtId="0" fontId="28" fillId="0" borderId="4" xfId="4495" applyFont="1" applyBorder="1" applyAlignment="1">
      <alignment horizontal="center" vertical="top"/>
    </xf>
    <xf numFmtId="0" fontId="129" fillId="0" borderId="0" xfId="4495" applyFont="1" applyAlignment="1">
      <alignment horizontal="left" vertical="top"/>
    </xf>
    <xf numFmtId="0" fontId="129" fillId="0" borderId="4" xfId="4495" applyFont="1" applyBorder="1" applyAlignment="1">
      <alignment horizontal="left" vertical="top"/>
    </xf>
    <xf numFmtId="168" fontId="21" fillId="0" borderId="0" xfId="4497" applyNumberFormat="1"/>
    <xf numFmtId="1" fontId="29" fillId="0" borderId="0" xfId="4495" applyNumberFormat="1" applyFont="1" applyAlignment="1">
      <alignment horizontal="center" vertical="top"/>
    </xf>
    <xf numFmtId="0" fontId="133" fillId="0" borderId="0" xfId="4495" applyFont="1" applyAlignment="1">
      <alignment vertical="top" wrapText="1"/>
    </xf>
    <xf numFmtId="0" fontId="133" fillId="0" borderId="0" xfId="4495" applyFont="1" applyAlignment="1">
      <alignment horizontal="left" vertical="top" wrapText="1"/>
    </xf>
    <xf numFmtId="0" fontId="29" fillId="0" borderId="6" xfId="4495" applyFont="1" applyBorder="1"/>
    <xf numFmtId="1" fontId="29" fillId="0" borderId="8" xfId="4495" applyNumberFormat="1" applyFont="1" applyBorder="1" applyAlignment="1">
      <alignment horizontal="center" vertical="top"/>
    </xf>
    <xf numFmtId="0" fontId="124" fillId="0" borderId="12" xfId="4495" applyBorder="1"/>
    <xf numFmtId="0" fontId="29" fillId="0" borderId="9" xfId="4495" applyFont="1" applyBorder="1"/>
    <xf numFmtId="0" fontId="124" fillId="0" borderId="10" xfId="4495" applyBorder="1"/>
    <xf numFmtId="0" fontId="37" fillId="0" borderId="3" xfId="4495" applyFont="1" applyBorder="1"/>
    <xf numFmtId="0" fontId="28" fillId="0" borderId="4" xfId="4495" applyFont="1" applyBorder="1"/>
    <xf numFmtId="0" fontId="124" fillId="0" borderId="12" xfId="4495" applyBorder="1" applyAlignment="1">
      <alignment vertical="top"/>
    </xf>
    <xf numFmtId="0" fontId="37" fillId="0" borderId="1" xfId="4495" applyFont="1" applyBorder="1"/>
    <xf numFmtId="0" fontId="133" fillId="0" borderId="2" xfId="4495" applyFont="1" applyBorder="1" applyAlignment="1">
      <alignment horizontal="left" wrapText="1"/>
    </xf>
    <xf numFmtId="0" fontId="133" fillId="0" borderId="2" xfId="4495" applyFont="1" applyBorder="1" applyAlignment="1">
      <alignment horizontal="left"/>
    </xf>
    <xf numFmtId="0" fontId="133" fillId="0" borderId="7" xfId="4495" applyFont="1" applyBorder="1" applyAlignment="1">
      <alignment horizontal="left" wrapText="1"/>
    </xf>
    <xf numFmtId="0" fontId="133" fillId="0" borderId="0" xfId="4495" applyFont="1" applyAlignment="1">
      <alignment horizontal="left" wrapText="1"/>
    </xf>
    <xf numFmtId="0" fontId="37" fillId="0" borderId="9" xfId="4495" applyFont="1" applyBorder="1"/>
    <xf numFmtId="0" fontId="29" fillId="0" borderId="10" xfId="4495" applyFont="1" applyBorder="1"/>
    <xf numFmtId="0" fontId="133" fillId="0" borderId="0" xfId="4495" applyFont="1" applyAlignment="1">
      <alignment wrapText="1"/>
    </xf>
    <xf numFmtId="0" fontId="37" fillId="0" borderId="9" xfId="4495" applyFont="1" applyBorder="1" applyAlignment="1">
      <alignment horizontal="center"/>
    </xf>
    <xf numFmtId="0" fontId="28" fillId="0" borderId="10" xfId="4495" applyFont="1" applyBorder="1"/>
    <xf numFmtId="0" fontId="39" fillId="0" borderId="0" xfId="4495" applyFont="1"/>
    <xf numFmtId="0" fontId="29" fillId="0" borderId="50" xfId="4495" applyFont="1" applyBorder="1"/>
    <xf numFmtId="0" fontId="29" fillId="0" borderId="51" xfId="4495" applyFont="1" applyBorder="1"/>
    <xf numFmtId="1" fontId="29" fillId="0" borderId="51" xfId="4495" quotePrefix="1" applyNumberFormat="1" applyFont="1" applyBorder="1" applyAlignment="1">
      <alignment horizontal="center" vertical="top"/>
    </xf>
    <xf numFmtId="0" fontId="28" fillId="0" borderId="51" xfId="4495" applyFont="1" applyBorder="1"/>
    <xf numFmtId="0" fontId="28" fillId="0" borderId="52" xfId="4495" applyFont="1" applyBorder="1" applyAlignment="1">
      <alignment horizontal="center"/>
    </xf>
    <xf numFmtId="0" fontId="21" fillId="0" borderId="53" xfId="4495" applyFont="1" applyBorder="1"/>
    <xf numFmtId="1" fontId="29" fillId="0" borderId="0" xfId="4495" quotePrefix="1" applyNumberFormat="1" applyFont="1" applyAlignment="1">
      <alignment horizontal="center" vertical="top"/>
    </xf>
    <xf numFmtId="0" fontId="28" fillId="0" borderId="54" xfId="4495" applyFont="1" applyBorder="1" applyAlignment="1">
      <alignment horizontal="center"/>
    </xf>
    <xf numFmtId="0" fontId="37" fillId="0" borderId="0" xfId="4495" applyFont="1" applyAlignment="1">
      <alignment vertical="top"/>
    </xf>
    <xf numFmtId="0" fontId="29" fillId="0" borderId="61" xfId="4495" applyFont="1" applyBorder="1"/>
    <xf numFmtId="0" fontId="124" fillId="0" borderId="58" xfId="4495" applyBorder="1" applyAlignment="1">
      <alignment horizontal="center"/>
    </xf>
    <xf numFmtId="1" fontId="29" fillId="0" borderId="58" xfId="4495" quotePrefix="1" applyNumberFormat="1" applyFont="1" applyBorder="1" applyAlignment="1">
      <alignment horizontal="center" vertical="top"/>
    </xf>
    <xf numFmtId="0" fontId="37" fillId="0" borderId="58" xfId="4495" applyFont="1" applyBorder="1" applyAlignment="1">
      <alignment vertical="top"/>
    </xf>
    <xf numFmtId="0" fontId="29" fillId="0" borderId="58" xfId="4495" applyFont="1" applyBorder="1" applyAlignment="1">
      <alignment vertical="top" wrapText="1"/>
    </xf>
    <xf numFmtId="0" fontId="29" fillId="0" borderId="58" xfId="4495" applyFont="1" applyBorder="1"/>
    <xf numFmtId="0" fontId="28" fillId="0" borderId="58" xfId="4495" applyFont="1" applyBorder="1" applyAlignment="1">
      <alignment horizontal="center"/>
    </xf>
    <xf numFmtId="0" fontId="124" fillId="0" borderId="61" xfId="4495" applyBorder="1"/>
    <xf numFmtId="0" fontId="124" fillId="0" borderId="0" xfId="4495" applyAlignment="1">
      <alignment horizontal="center"/>
    </xf>
    <xf numFmtId="0" fontId="21" fillId="0" borderId="53" xfId="543" applyBorder="1"/>
    <xf numFmtId="0" fontId="29" fillId="0" borderId="54" xfId="4495" applyFont="1" applyBorder="1"/>
    <xf numFmtId="0" fontId="21" fillId="0" borderId="58" xfId="543" applyBorder="1"/>
    <xf numFmtId="1" fontId="29" fillId="0" borderId="58" xfId="4495" applyNumberFormat="1" applyFont="1" applyBorder="1" applyAlignment="1">
      <alignment horizontal="center" vertical="top"/>
    </xf>
    <xf numFmtId="0" fontId="37" fillId="0" borderId="58" xfId="4495" applyFont="1" applyBorder="1" applyAlignment="1">
      <alignment vertical="center"/>
    </xf>
    <xf numFmtId="0" fontId="124" fillId="0" borderId="58" xfId="4495" applyBorder="1" applyAlignment="1">
      <alignment vertical="top" wrapText="1"/>
    </xf>
    <xf numFmtId="0" fontId="21" fillId="0" borderId="58" xfId="4495" applyFont="1" applyBorder="1"/>
    <xf numFmtId="0" fontId="37" fillId="0" borderId="0" xfId="4495" applyFont="1" applyAlignment="1">
      <alignment vertical="center"/>
    </xf>
    <xf numFmtId="0" fontId="29" fillId="0" borderId="53" xfId="4495" applyFont="1" applyBorder="1"/>
    <xf numFmtId="0" fontId="21" fillId="0" borderId="57" xfId="543" applyBorder="1"/>
    <xf numFmtId="0" fontId="29" fillId="0" borderId="58" xfId="4495" applyFont="1" applyBorder="1" applyAlignment="1">
      <alignment vertical="top"/>
    </xf>
    <xf numFmtId="0" fontId="29" fillId="0" borderId="59" xfId="4495" applyFont="1" applyBorder="1"/>
    <xf numFmtId="0" fontId="29" fillId="0" borderId="57" xfId="4495" applyFont="1" applyBorder="1"/>
    <xf numFmtId="0" fontId="21" fillId="0" borderId="51" xfId="4495" applyFont="1" applyBorder="1"/>
    <xf numFmtId="0" fontId="29" fillId="0" borderId="52" xfId="4495" applyFont="1" applyBorder="1"/>
    <xf numFmtId="0" fontId="21" fillId="0" borderId="50" xfId="543" applyBorder="1"/>
    <xf numFmtId="0" fontId="21" fillId="0" borderId="51" xfId="543" applyBorder="1"/>
    <xf numFmtId="0" fontId="21" fillId="0" borderId="52" xfId="543" applyBorder="1"/>
    <xf numFmtId="0" fontId="29" fillId="0" borderId="0" xfId="4495" applyFont="1" applyAlignment="1">
      <alignment wrapText="1"/>
    </xf>
    <xf numFmtId="0" fontId="28" fillId="0" borderId="54" xfId="4495" applyFont="1" applyBorder="1" applyAlignment="1">
      <alignment horizontal="center" vertical="top"/>
    </xf>
    <xf numFmtId="0" fontId="124" fillId="0" borderId="53" xfId="4495" applyBorder="1" applyAlignment="1">
      <alignment horizontal="center"/>
    </xf>
    <xf numFmtId="2" fontId="29" fillId="0" borderId="0" xfId="4495" applyNumberFormat="1" applyFont="1" applyAlignment="1">
      <alignment horizontal="right"/>
    </xf>
    <xf numFmtId="2" fontId="29" fillId="0" borderId="8" xfId="4495" applyNumberFormat="1" applyFont="1" applyBorder="1" applyAlignment="1">
      <alignment horizontal="left"/>
    </xf>
    <xf numFmtId="0" fontId="29" fillId="0" borderId="8" xfId="4495" applyFont="1" applyBorder="1" applyAlignment="1">
      <alignment horizontal="right"/>
    </xf>
    <xf numFmtId="0" fontId="132" fillId="0" borderId="0" xfId="4495" applyFont="1"/>
    <xf numFmtId="0" fontId="124" fillId="0" borderId="57" xfId="4495" applyBorder="1" applyAlignment="1">
      <alignment horizontal="center"/>
    </xf>
    <xf numFmtId="0" fontId="28" fillId="0" borderId="59" xfId="4495" applyFont="1" applyBorder="1" applyAlignment="1">
      <alignment horizontal="center"/>
    </xf>
    <xf numFmtId="9" fontId="29" fillId="0" borderId="0" xfId="4495" applyNumberFormat="1" applyFont="1" applyAlignment="1">
      <alignment horizontal="left"/>
    </xf>
    <xf numFmtId="0" fontId="21" fillId="0" borderId="17" xfId="543" applyBorder="1"/>
    <xf numFmtId="0" fontId="21" fillId="0" borderId="16" xfId="543" applyBorder="1"/>
    <xf numFmtId="0" fontId="21" fillId="0" borderId="51" xfId="4495" quotePrefix="1" applyFont="1" applyBorder="1" applyAlignment="1">
      <alignment horizontal="center" vertical="top"/>
    </xf>
    <xf numFmtId="0" fontId="29" fillId="0" borderId="53" xfId="4495" applyFont="1" applyBorder="1" applyAlignment="1">
      <alignment horizontal="left" vertical="top"/>
    </xf>
    <xf numFmtId="0" fontId="29" fillId="0" borderId="0" xfId="4495" applyFont="1" applyAlignment="1">
      <alignment horizontal="center" vertical="top"/>
    </xf>
    <xf numFmtId="0" fontId="29" fillId="0" borderId="57" xfId="4495" applyFont="1" applyBorder="1" applyAlignment="1">
      <alignment horizontal="left" vertical="top"/>
    </xf>
    <xf numFmtId="0" fontId="29" fillId="0" borderId="58" xfId="4495" applyFont="1" applyBorder="1" applyAlignment="1">
      <alignment horizontal="center" vertical="top"/>
    </xf>
    <xf numFmtId="0" fontId="124" fillId="0" borderId="58" xfId="4495" applyBorder="1"/>
    <xf numFmtId="0" fontId="28" fillId="0" borderId="58" xfId="4495" applyFont="1" applyBorder="1" applyAlignment="1">
      <alignment vertical="top"/>
    </xf>
    <xf numFmtId="0" fontId="28" fillId="0" borderId="58" xfId="4495" applyFont="1" applyBorder="1" applyAlignment="1">
      <alignment horizontal="left" vertical="top"/>
    </xf>
    <xf numFmtId="0" fontId="28" fillId="0" borderId="51" xfId="4495" applyFont="1" applyBorder="1" applyAlignment="1">
      <alignment horizontal="left" vertical="top"/>
    </xf>
    <xf numFmtId="0" fontId="28" fillId="0" borderId="53" xfId="4495" applyFont="1" applyBorder="1" applyAlignment="1">
      <alignment horizontal="left" vertical="top"/>
    </xf>
    <xf numFmtId="0" fontId="57" fillId="0" borderId="0" xfId="4495" applyFont="1" applyAlignment="1">
      <alignment horizontal="left" vertical="top"/>
    </xf>
    <xf numFmtId="0" fontId="29" fillId="0" borderId="0" xfId="4495" quotePrefix="1" applyFont="1" applyAlignment="1">
      <alignment horizontal="center" vertical="top"/>
    </xf>
    <xf numFmtId="0" fontId="58" fillId="0" borderId="0" xfId="4495" applyFont="1" applyAlignment="1">
      <alignment horizontal="center"/>
    </xf>
    <xf numFmtId="0" fontId="58" fillId="0" borderId="0" xfId="4495" applyFont="1" applyAlignment="1">
      <alignment vertical="top"/>
    </xf>
    <xf numFmtId="0" fontId="111" fillId="0" borderId="0" xfId="4495" applyFont="1"/>
    <xf numFmtId="0" fontId="57" fillId="0" borderId="0" xfId="4495" applyFont="1" applyAlignment="1">
      <alignment vertical="top"/>
    </xf>
    <xf numFmtId="0" fontId="37" fillId="0" borderId="53" xfId="4495" applyFont="1" applyBorder="1"/>
    <xf numFmtId="2" fontId="29" fillId="0" borderId="8" xfId="4495" applyNumberFormat="1" applyFont="1" applyBorder="1" applyAlignment="1">
      <alignment horizontal="right"/>
    </xf>
    <xf numFmtId="0" fontId="28" fillId="0" borderId="50" xfId="4495" applyFont="1" applyBorder="1" applyAlignment="1">
      <alignment horizontal="left" vertical="top"/>
    </xf>
    <xf numFmtId="0" fontId="57" fillId="0" borderId="51" xfId="4495" applyFont="1" applyBorder="1" applyAlignment="1">
      <alignment horizontal="left" vertical="top"/>
    </xf>
    <xf numFmtId="0" fontId="124" fillId="0" borderId="53" xfId="4495" applyBorder="1"/>
    <xf numFmtId="0" fontId="111" fillId="0" borderId="0" xfId="4495" applyFont="1" applyAlignment="1">
      <alignment horizontal="left" vertical="top"/>
    </xf>
    <xf numFmtId="1" fontId="28" fillId="0" borderId="58" xfId="4495" applyNumberFormat="1" applyFont="1" applyBorder="1" applyAlignment="1">
      <alignment vertical="top"/>
    </xf>
    <xf numFmtId="172" fontId="28" fillId="0" borderId="8" xfId="543" applyNumberFormat="1" applyFont="1" applyBorder="1"/>
    <xf numFmtId="172" fontId="28" fillId="0" borderId="0" xfId="543" applyNumberFormat="1" applyFont="1"/>
    <xf numFmtId="0" fontId="37" fillId="0" borderId="0" xfId="4495" applyFont="1" applyAlignment="1">
      <alignment wrapText="1"/>
    </xf>
    <xf numFmtId="0" fontId="37" fillId="0" borderId="0" xfId="4495" applyFont="1" applyAlignment="1">
      <alignment horizontal="center"/>
    </xf>
    <xf numFmtId="0" fontId="37" fillId="0" borderId="0" xfId="4495" applyFont="1" applyAlignment="1">
      <alignment vertical="center" wrapText="1"/>
    </xf>
    <xf numFmtId="180" fontId="29" fillId="0" borderId="0" xfId="4495" applyNumberFormat="1" applyFont="1" applyAlignment="1">
      <alignment horizontal="center"/>
    </xf>
    <xf numFmtId="1" fontId="29" fillId="0" borderId="0" xfId="4495" applyNumberFormat="1" applyFont="1" applyAlignment="1">
      <alignment horizontal="center"/>
    </xf>
    <xf numFmtId="0" fontId="28" fillId="0" borderId="51" xfId="4495" applyFont="1" applyBorder="1" applyAlignment="1">
      <alignment horizontal="center"/>
    </xf>
    <xf numFmtId="0" fontId="28" fillId="0" borderId="51" xfId="4495" applyFont="1" applyBorder="1" applyAlignment="1">
      <alignment vertical="top"/>
    </xf>
    <xf numFmtId="0" fontId="28" fillId="0" borderId="53" xfId="4495" applyFont="1" applyBorder="1"/>
    <xf numFmtId="0" fontId="21" fillId="0" borderId="54" xfId="543" applyBorder="1"/>
    <xf numFmtId="49" fontId="29" fillId="0" borderId="0" xfId="4495" applyNumberFormat="1" applyFont="1" applyAlignment="1">
      <alignment horizontal="left" vertical="center" wrapText="1"/>
    </xf>
    <xf numFmtId="0" fontId="21" fillId="0" borderId="57" xfId="4495" applyFont="1" applyBorder="1"/>
    <xf numFmtId="1" fontId="21" fillId="0" borderId="0" xfId="4495" applyNumberFormat="1" applyFont="1" applyAlignment="1">
      <alignment vertical="center"/>
    </xf>
    <xf numFmtId="0" fontId="39" fillId="0" borderId="50" xfId="4495" applyFont="1" applyBorder="1"/>
    <xf numFmtId="0" fontId="29" fillId="0" borderId="51" xfId="4495" applyFont="1" applyBorder="1" applyAlignment="1">
      <alignment horizontal="center" vertical="top"/>
    </xf>
    <xf numFmtId="0" fontId="29" fillId="0" borderId="51" xfId="4495" applyFont="1" applyBorder="1" applyAlignment="1">
      <alignment vertical="top" wrapText="1"/>
    </xf>
    <xf numFmtId="0" fontId="29" fillId="0" borderId="51" xfId="4495" applyFont="1" applyBorder="1" applyAlignment="1">
      <alignment horizontal="left" vertical="top" wrapText="1"/>
    </xf>
    <xf numFmtId="0" fontId="21" fillId="0" borderId="0" xfId="4495" quotePrefix="1" applyFont="1" applyAlignment="1">
      <alignment horizontal="center" vertical="top"/>
    </xf>
    <xf numFmtId="1" fontId="29" fillId="0" borderId="0" xfId="4495" quotePrefix="1" applyNumberFormat="1" applyFont="1" applyAlignment="1">
      <alignment wrapText="1"/>
    </xf>
    <xf numFmtId="0" fontId="29" fillId="0" borderId="6" xfId="4495" applyFont="1" applyBorder="1" applyAlignment="1">
      <alignment horizontal="right"/>
    </xf>
    <xf numFmtId="0" fontId="126" fillId="0" borderId="0" xfId="4496" applyFont="1" applyAlignment="1">
      <alignment wrapText="1"/>
    </xf>
    <xf numFmtId="0" fontId="21" fillId="0" borderId="0" xfId="4496" applyFont="1" applyAlignment="1">
      <alignment wrapText="1"/>
    </xf>
    <xf numFmtId="0" fontId="37" fillId="0" borderId="51" xfId="4495" applyFont="1" applyBorder="1" applyAlignment="1">
      <alignment vertical="top"/>
    </xf>
    <xf numFmtId="0" fontId="21" fillId="0" borderId="51" xfId="4496" applyFont="1" applyBorder="1" applyAlignment="1">
      <alignment wrapText="1"/>
    </xf>
    <xf numFmtId="0" fontId="28" fillId="0" borderId="51" xfId="4495" applyFont="1" applyBorder="1" applyAlignment="1">
      <alignment horizontal="right"/>
    </xf>
    <xf numFmtId="0" fontId="21" fillId="0" borderId="52" xfId="4495" applyFont="1" applyBorder="1" applyAlignment="1">
      <alignment horizontal="center"/>
    </xf>
    <xf numFmtId="0" fontId="21" fillId="0" borderId="53" xfId="4495" applyFont="1" applyBorder="1" applyAlignment="1">
      <alignment horizontal="left" vertical="top"/>
    </xf>
    <xf numFmtId="0" fontId="21" fillId="0" borderId="54" xfId="4495" applyFont="1" applyBorder="1" applyAlignment="1">
      <alignment horizontal="left" vertical="top"/>
    </xf>
    <xf numFmtId="0" fontId="21" fillId="0" borderId="54" xfId="4495" applyFont="1" applyBorder="1" applyAlignment="1">
      <alignment horizontal="center"/>
    </xf>
    <xf numFmtId="0" fontId="21" fillId="0" borderId="59" xfId="4495" applyFont="1" applyBorder="1" applyAlignment="1">
      <alignment horizontal="center"/>
    </xf>
    <xf numFmtId="9" fontId="21" fillId="0" borderId="0" xfId="4496" applyNumberFormat="1" applyFont="1" applyAlignment="1">
      <alignment horizontal="center"/>
    </xf>
    <xf numFmtId="1" fontId="21" fillId="0" borderId="0" xfId="543" applyNumberFormat="1"/>
    <xf numFmtId="0" fontId="29" fillId="0" borderId="1" xfId="4495" applyFont="1" applyBorder="1"/>
    <xf numFmtId="0" fontId="28" fillId="0" borderId="0" xfId="4495" applyFont="1" applyAlignment="1">
      <alignment horizontal="center" wrapText="1"/>
    </xf>
    <xf numFmtId="0" fontId="28" fillId="0" borderId="9" xfId="4495" applyFont="1" applyBorder="1" applyAlignment="1">
      <alignment horizontal="left"/>
    </xf>
    <xf numFmtId="0" fontId="28" fillId="0" borderId="3" xfId="4495" applyFont="1" applyBorder="1" applyAlignment="1">
      <alignment horizontal="left"/>
    </xf>
    <xf numFmtId="0" fontId="28" fillId="0" borderId="4" xfId="4495" applyFont="1" applyBorder="1" applyAlignment="1">
      <alignment horizontal="left"/>
    </xf>
    <xf numFmtId="0" fontId="21" fillId="0" borderId="2" xfId="4495" applyFont="1" applyBorder="1" applyAlignment="1">
      <alignment horizontal="left"/>
    </xf>
    <xf numFmtId="0" fontId="28" fillId="0" borderId="2" xfId="4495" applyFont="1" applyBorder="1" applyAlignment="1">
      <alignment horizontal="left"/>
    </xf>
    <xf numFmtId="0" fontId="28" fillId="0" borderId="5" xfId="4495" applyFont="1" applyBorder="1" applyAlignment="1">
      <alignment horizontal="left"/>
    </xf>
    <xf numFmtId="180" fontId="68" fillId="0" borderId="0" xfId="4495" applyNumberFormat="1" applyFont="1" applyAlignment="1">
      <alignment horizontal="center" vertical="center"/>
    </xf>
    <xf numFmtId="0" fontId="21" fillId="0" borderId="12" xfId="4495" applyFont="1" applyBorder="1" applyAlignment="1">
      <alignment vertical="top"/>
    </xf>
    <xf numFmtId="0" fontId="51" fillId="0" borderId="0" xfId="4495" applyFont="1" applyAlignment="1">
      <alignment vertical="top" wrapText="1"/>
    </xf>
    <xf numFmtId="0" fontId="21" fillId="0" borderId="51" xfId="4495" applyFont="1" applyBorder="1" applyAlignment="1">
      <alignment horizontal="left" vertical="top" wrapText="1"/>
    </xf>
    <xf numFmtId="0" fontId="21" fillId="0" borderId="51" xfId="4495" applyFont="1" applyBorder="1" applyAlignment="1">
      <alignment horizontal="right"/>
    </xf>
    <xf numFmtId="0" fontId="21" fillId="0" borderId="52" xfId="4495" applyFont="1" applyBorder="1" applyAlignment="1">
      <alignment horizontal="right"/>
    </xf>
    <xf numFmtId="0" fontId="21" fillId="0" borderId="54" xfId="4495" applyFont="1" applyBorder="1" applyAlignment="1">
      <alignment horizontal="right"/>
    </xf>
    <xf numFmtId="0" fontId="21" fillId="0" borderId="58" xfId="4495" applyFont="1" applyBorder="1" applyAlignment="1">
      <alignment horizontal="left" vertical="top" wrapText="1"/>
    </xf>
    <xf numFmtId="0" fontId="21" fillId="0" borderId="58" xfId="4495" applyFont="1" applyBorder="1" applyAlignment="1">
      <alignment horizontal="right"/>
    </xf>
    <xf numFmtId="0" fontId="21" fillId="0" borderId="59" xfId="4495" applyFont="1" applyBorder="1" applyAlignment="1">
      <alignment horizontal="right"/>
    </xf>
    <xf numFmtId="0" fontId="51" fillId="0" borderId="0" xfId="4495" applyFont="1" applyAlignment="1">
      <alignment horizontal="left" vertical="top" wrapText="1"/>
    </xf>
    <xf numFmtId="0" fontId="21" fillId="0" borderId="0" xfId="1192" applyAlignment="1">
      <alignment horizontal="left" vertical="top"/>
    </xf>
    <xf numFmtId="0" fontId="39" fillId="0" borderId="0" xfId="1192" applyFont="1" applyAlignment="1">
      <alignment horizontal="left" vertical="top"/>
    </xf>
    <xf numFmtId="0" fontId="21" fillId="0" borderId="0" xfId="1192" applyAlignment="1">
      <alignment vertical="top"/>
    </xf>
    <xf numFmtId="168" fontId="21" fillId="0" borderId="0" xfId="1192" applyNumberFormat="1"/>
    <xf numFmtId="165" fontId="21" fillId="0" borderId="0" xfId="1192" applyNumberFormat="1"/>
    <xf numFmtId="165" fontId="21" fillId="0" borderId="0" xfId="1192" applyNumberFormat="1" applyAlignment="1">
      <alignment horizontal="right"/>
    </xf>
    <xf numFmtId="2" fontId="21" fillId="0" borderId="0" xfId="1192" applyNumberFormat="1"/>
    <xf numFmtId="6" fontId="21" fillId="0" borderId="0" xfId="1192" applyNumberFormat="1"/>
    <xf numFmtId="0" fontId="28" fillId="0" borderId="0" xfId="1192" applyFont="1"/>
    <xf numFmtId="0" fontId="51" fillId="0" borderId="0" xfId="1192" applyFont="1"/>
    <xf numFmtId="168" fontId="21" fillId="0" borderId="0" xfId="4495" applyNumberFormat="1" applyFont="1"/>
    <xf numFmtId="0" fontId="28" fillId="0" borderId="0" xfId="1192" applyFont="1" applyAlignment="1">
      <alignment vertical="center"/>
    </xf>
    <xf numFmtId="0" fontId="122" fillId="0" borderId="0" xfId="1192" applyFont="1" applyAlignment="1">
      <alignment horizontal="left"/>
    </xf>
    <xf numFmtId="0" fontId="119" fillId="0" borderId="0" xfId="1192" applyFont="1" applyAlignment="1">
      <alignment horizontal="left"/>
    </xf>
    <xf numFmtId="0" fontId="119" fillId="0" borderId="0" xfId="1192" applyFont="1" applyAlignment="1">
      <alignment horizontal="center"/>
    </xf>
    <xf numFmtId="168" fontId="21" fillId="0" borderId="0" xfId="1192" applyNumberFormat="1" applyAlignment="1">
      <alignment horizontal="center"/>
    </xf>
    <xf numFmtId="9" fontId="21" fillId="0" borderId="0" xfId="1192" applyNumberFormat="1"/>
    <xf numFmtId="0" fontId="21" fillId="0" borderId="0" xfId="1192" applyAlignment="1">
      <alignment horizontal="right"/>
    </xf>
    <xf numFmtId="0" fontId="21" fillId="0" borderId="53" xfId="4495" applyFont="1" applyBorder="1" applyAlignment="1">
      <alignment horizontal="left"/>
    </xf>
    <xf numFmtId="6" fontId="28" fillId="0" borderId="0" xfId="1192" applyNumberFormat="1" applyFont="1" applyAlignment="1">
      <alignment horizontal="right"/>
    </xf>
    <xf numFmtId="165" fontId="21" fillId="0" borderId="0" xfId="4495" applyNumberFormat="1" applyFont="1"/>
    <xf numFmtId="0" fontId="58" fillId="0" borderId="4" xfId="4495" applyFont="1" applyBorder="1"/>
    <xf numFmtId="0" fontId="41" fillId="0" borderId="0" xfId="543" applyFont="1" applyAlignment="1">
      <alignment vertical="center" wrapText="1"/>
    </xf>
    <xf numFmtId="1" fontId="28" fillId="0" borderId="13" xfId="271" applyNumberFormat="1" applyFont="1" applyBorder="1"/>
    <xf numFmtId="1" fontId="30" fillId="0" borderId="13" xfId="271" applyNumberFormat="1" applyBorder="1"/>
    <xf numFmtId="0" fontId="21" fillId="0" borderId="11" xfId="0" applyFont="1" applyBorder="1"/>
    <xf numFmtId="9" fontId="21" fillId="0" borderId="0" xfId="4495" applyNumberFormat="1" applyFont="1"/>
    <xf numFmtId="165" fontId="126" fillId="0" borderId="0" xfId="4496" applyNumberFormat="1" applyFont="1" applyAlignment="1">
      <alignment horizontal="center" vertical="top" wrapText="1"/>
    </xf>
    <xf numFmtId="168" fontId="126" fillId="0" borderId="0" xfId="4496" applyNumberFormat="1" applyFont="1" applyAlignment="1">
      <alignment vertical="top" wrapText="1"/>
    </xf>
    <xf numFmtId="165" fontId="126" fillId="0" borderId="64" xfId="4496" applyNumberFormat="1" applyFont="1" applyBorder="1" applyAlignment="1">
      <alignment horizontal="center" vertical="top" wrapText="1"/>
    </xf>
    <xf numFmtId="165" fontId="126" fillId="0" borderId="53" xfId="4496" applyNumberFormat="1" applyFont="1" applyBorder="1" applyAlignment="1">
      <alignment horizontal="left" vertical="top"/>
    </xf>
    <xf numFmtId="165" fontId="126" fillId="0" borderId="53" xfId="4496" applyNumberFormat="1" applyFont="1" applyBorder="1" applyAlignment="1">
      <alignment horizontal="center" vertical="top" wrapText="1"/>
    </xf>
    <xf numFmtId="168" fontId="126" fillId="0" borderId="0" xfId="4496" applyNumberFormat="1" applyFont="1" applyAlignment="1">
      <alignment vertical="top"/>
    </xf>
    <xf numFmtId="1" fontId="126" fillId="0" borderId="0" xfId="4496" applyNumberFormat="1" applyFont="1" applyAlignment="1">
      <alignment vertical="top" wrapText="1"/>
    </xf>
    <xf numFmtId="164" fontId="29" fillId="0" borderId="0" xfId="4495" applyNumberFormat="1" applyFont="1"/>
    <xf numFmtId="0" fontId="28" fillId="0" borderId="8" xfId="0" applyFont="1" applyBorder="1" applyAlignment="1">
      <alignment horizontal="center" vertical="center" wrapText="1"/>
    </xf>
    <xf numFmtId="0" fontId="2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4" fillId="0" borderId="50" xfId="1192" applyFont="1" applyBorder="1" applyAlignment="1">
      <alignment horizontal="left"/>
    </xf>
    <xf numFmtId="0" fontId="145" fillId="0" borderId="51" xfId="4495" applyFont="1" applyBorder="1" applyAlignment="1">
      <alignment vertical="top"/>
    </xf>
    <xf numFmtId="0" fontId="144" fillId="0" borderId="51" xfId="4495" applyFont="1" applyBorder="1" applyAlignment="1">
      <alignment vertical="top" wrapText="1"/>
    </xf>
    <xf numFmtId="0" fontId="145" fillId="0" borderId="51" xfId="4495" applyFont="1" applyBorder="1"/>
    <xf numFmtId="0" fontId="145" fillId="0" borderId="53" xfId="1192" applyFont="1" applyBorder="1" applyAlignment="1">
      <alignment horizontal="left"/>
    </xf>
    <xf numFmtId="0" fontId="145" fillId="0" borderId="0" xfId="4495" applyFont="1" applyAlignment="1">
      <alignment vertical="top"/>
    </xf>
    <xf numFmtId="0" fontId="144" fillId="0" borderId="0" xfId="4495" applyFont="1" applyAlignment="1">
      <alignment vertical="top" wrapText="1"/>
    </xf>
    <xf numFmtId="0" fontId="145" fillId="0" borderId="0" xfId="4495" applyFont="1"/>
    <xf numFmtId="0" fontId="144" fillId="0" borderId="53" xfId="1192" applyFont="1" applyBorder="1" applyAlignment="1">
      <alignment horizontal="left"/>
    </xf>
    <xf numFmtId="0" fontId="144" fillId="0" borderId="57" xfId="1192" applyFont="1" applyBorder="1" applyAlignment="1">
      <alignment horizontal="left"/>
    </xf>
    <xf numFmtId="0" fontId="145" fillId="0" borderId="58" xfId="4495" applyFont="1" applyBorder="1" applyAlignment="1">
      <alignment vertical="top"/>
    </xf>
    <xf numFmtId="0" fontId="144" fillId="0" borderId="58" xfId="4495" applyFont="1" applyBorder="1" applyAlignment="1">
      <alignment vertical="top" wrapText="1"/>
    </xf>
    <xf numFmtId="0" fontId="145" fillId="0" borderId="58" xfId="4495" applyFont="1" applyBorder="1"/>
    <xf numFmtId="0" fontId="30" fillId="0" borderId="3" xfId="0" applyFont="1" applyBorder="1" applyAlignment="1">
      <alignment horizontal="center"/>
    </xf>
    <xf numFmtId="0" fontId="30" fillId="0" borderId="4" xfId="0" applyFont="1" applyBorder="1" applyAlignment="1">
      <alignment horizontal="center"/>
    </xf>
    <xf numFmtId="0" fontId="30" fillId="0" borderId="5" xfId="0" applyFont="1" applyBorder="1" applyAlignment="1">
      <alignment horizontal="center"/>
    </xf>
    <xf numFmtId="0" fontId="28" fillId="0" borderId="7" xfId="0" applyFont="1" applyBorder="1" applyAlignment="1">
      <alignment horizontal="right"/>
    </xf>
    <xf numFmtId="0" fontId="0" fillId="0" borderId="0" xfId="0" applyAlignment="1" applyProtection="1">
      <alignment horizontal="left" vertical="top" wrapText="1"/>
      <protection locked="0"/>
    </xf>
    <xf numFmtId="0" fontId="21" fillId="0" borderId="9" xfId="0" applyFont="1" applyBorder="1" applyAlignment="1">
      <alignment horizontal="left"/>
    </xf>
    <xf numFmtId="0" fontId="21" fillId="0" borderId="6" xfId="0" applyFont="1" applyBorder="1"/>
    <xf numFmtId="0" fontId="21" fillId="0" borderId="9" xfId="0" applyFont="1" applyBorder="1"/>
    <xf numFmtId="0" fontId="54" fillId="0" borderId="0" xfId="0" applyFont="1" applyAlignment="1">
      <alignment horizontal="center"/>
    </xf>
    <xf numFmtId="0" fontId="27" fillId="0" borderId="0" xfId="0" applyFont="1" applyAlignment="1">
      <alignment horizontal="center" vertical="center" wrapText="1"/>
    </xf>
    <xf numFmtId="0" fontId="36" fillId="0" borderId="0" xfId="0" applyFont="1" applyAlignment="1">
      <alignment horizontal="center"/>
    </xf>
    <xf numFmtId="0" fontId="29" fillId="0" borderId="0" xfId="0" applyFont="1" applyAlignment="1">
      <alignment horizontal="center"/>
    </xf>
    <xf numFmtId="0" fontId="28" fillId="0" borderId="3" xfId="0" applyFont="1" applyBorder="1"/>
    <xf numFmtId="0" fontId="28" fillId="0" borderId="4" xfId="271" applyFont="1" applyBorder="1"/>
    <xf numFmtId="0" fontId="28" fillId="0" borderId="3" xfId="271" applyFont="1" applyBorder="1"/>
    <xf numFmtId="0" fontId="28" fillId="0" borderId="5" xfId="271" applyFont="1" applyBorder="1"/>
    <xf numFmtId="0" fontId="21" fillId="0" borderId="58" xfId="4495" applyFont="1" applyBorder="1" applyAlignment="1">
      <alignment vertical="center" wrapText="1"/>
    </xf>
    <xf numFmtId="0" fontId="21" fillId="0" borderId="59" xfId="4495" applyFont="1" applyBorder="1" applyAlignment="1">
      <alignment vertical="center" wrapText="1"/>
    </xf>
    <xf numFmtId="0" fontId="21" fillId="0" borderId="0" xfId="4495" applyFont="1" applyAlignment="1">
      <alignment horizontal="left" vertical="center" wrapText="1"/>
    </xf>
    <xf numFmtId="0" fontId="28" fillId="0" borderId="5" xfId="0" applyFont="1" applyBorder="1"/>
    <xf numFmtId="168" fontId="26" fillId="43" borderId="0" xfId="0" applyNumberFormat="1" applyFont="1" applyFill="1"/>
    <xf numFmtId="9" fontId="29" fillId="0" borderId="0" xfId="543" applyNumberFormat="1" applyFont="1" applyAlignment="1">
      <alignment horizontal="center"/>
    </xf>
    <xf numFmtId="171" fontId="21" fillId="0" borderId="0" xfId="543" applyNumberFormat="1"/>
    <xf numFmtId="171" fontId="21" fillId="0" borderId="11" xfId="543" applyNumberFormat="1" applyBorder="1"/>
    <xf numFmtId="1" fontId="21" fillId="0" borderId="11" xfId="543" applyNumberFormat="1" applyBorder="1" applyAlignment="1">
      <alignment horizontal="center"/>
    </xf>
    <xf numFmtId="0" fontId="47" fillId="0" borderId="8" xfId="543" applyFont="1" applyBorder="1" applyAlignment="1">
      <alignment vertical="center" wrapText="1"/>
    </xf>
    <xf numFmtId="0" fontId="47" fillId="0" borderId="0" xfId="543" applyFont="1" applyAlignment="1">
      <alignment vertical="center" wrapText="1"/>
    </xf>
    <xf numFmtId="0" fontId="47" fillId="0" borderId="12" xfId="543" applyFont="1" applyBorder="1" applyAlignment="1">
      <alignment vertical="center" wrapText="1"/>
    </xf>
    <xf numFmtId="0" fontId="47" fillId="0" borderId="9" xfId="543" applyFont="1" applyBorder="1" applyAlignment="1">
      <alignment vertical="center" wrapText="1"/>
    </xf>
    <xf numFmtId="0" fontId="47" fillId="0" borderId="6" xfId="543" applyFont="1" applyBorder="1" applyAlignment="1">
      <alignment vertical="center" wrapText="1"/>
    </xf>
    <xf numFmtId="0" fontId="47" fillId="0" borderId="10" xfId="543" applyFont="1" applyBorder="1" applyAlignment="1">
      <alignment vertical="center" wrapText="1"/>
    </xf>
    <xf numFmtId="0" fontId="48" fillId="0" borderId="8" xfId="543" applyFont="1" applyBorder="1" applyAlignment="1">
      <alignment vertical="center" wrapText="1"/>
    </xf>
    <xf numFmtId="0" fontId="48" fillId="0" borderId="0" xfId="543" applyFont="1" applyAlignment="1">
      <alignment vertical="center" wrapText="1"/>
    </xf>
    <xf numFmtId="0" fontId="48" fillId="0" borderId="12" xfId="543" applyFont="1" applyBorder="1" applyAlignment="1">
      <alignment vertical="center" wrapText="1"/>
    </xf>
    <xf numFmtId="0" fontId="48" fillId="0" borderId="9" xfId="543" applyFont="1" applyBorder="1" applyAlignment="1">
      <alignment vertical="center" wrapText="1"/>
    </xf>
    <xf numFmtId="0" fontId="48" fillId="0" borderId="6" xfId="543" applyFont="1" applyBorder="1" applyAlignment="1">
      <alignment vertical="center" wrapText="1"/>
    </xf>
    <xf numFmtId="0" fontId="48" fillId="0" borderId="10" xfId="543" applyFont="1" applyBorder="1" applyAlignment="1">
      <alignment vertical="center" wrapText="1"/>
    </xf>
    <xf numFmtId="0" fontId="41" fillId="0" borderId="12" xfId="543" applyFont="1" applyBorder="1" applyAlignment="1">
      <alignment horizontal="center" vertical="top"/>
    </xf>
    <xf numFmtId="0" fontId="42" fillId="0" borderId="7" xfId="543" applyFont="1" applyBorder="1"/>
    <xf numFmtId="0" fontId="21" fillId="0" borderId="12" xfId="543" quotePrefix="1" applyBorder="1"/>
    <xf numFmtId="0" fontId="57" fillId="0" borderId="2" xfId="569" applyFont="1" applyBorder="1" applyAlignment="1">
      <alignment vertical="top"/>
    </xf>
    <xf numFmtId="0" fontId="31" fillId="0" borderId="0" xfId="4495" applyFont="1"/>
    <xf numFmtId="0" fontId="21" fillId="0" borderId="0" xfId="4495" applyFont="1" applyAlignment="1">
      <alignment vertical="top" wrapText="1" shrinkToFit="1"/>
    </xf>
    <xf numFmtId="0" fontId="149" fillId="0" borderId="0" xfId="4495" applyFont="1"/>
    <xf numFmtId="164" fontId="21" fillId="0" borderId="0" xfId="1192" applyNumberFormat="1" applyAlignment="1">
      <alignment horizontal="right"/>
    </xf>
    <xf numFmtId="164" fontId="21" fillId="0" borderId="0" xfId="4495" applyNumberFormat="1" applyFont="1" applyAlignment="1">
      <alignment horizontal="right"/>
    </xf>
    <xf numFmtId="0" fontId="21" fillId="0" borderId="0" xfId="4495" applyFont="1" applyAlignment="1">
      <alignment horizontal="left" vertical="top" wrapText="1" shrinkToFit="1"/>
    </xf>
    <xf numFmtId="0" fontId="21" fillId="0" borderId="6" xfId="4495" applyFont="1" applyBorder="1" applyAlignment="1">
      <alignment vertical="top" wrapText="1"/>
    </xf>
    <xf numFmtId="0" fontId="149" fillId="0" borderId="4" xfId="4495" applyFont="1" applyBorder="1"/>
    <xf numFmtId="0" fontId="21" fillId="0" borderId="4" xfId="4495" applyFont="1" applyBorder="1" applyAlignment="1">
      <alignment horizontal="left" vertical="top" wrapText="1" shrinkToFit="1"/>
    </xf>
    <xf numFmtId="0" fontId="31" fillId="0" borderId="0" xfId="4495" applyFont="1" applyAlignment="1">
      <alignment horizontal="left" vertical="top"/>
    </xf>
    <xf numFmtId="0" fontId="21" fillId="0" borderId="0" xfId="4495" applyFont="1" applyAlignment="1">
      <alignment vertical="center" wrapText="1" shrinkToFit="1"/>
    </xf>
    <xf numFmtId="0" fontId="21" fillId="0" borderId="0" xfId="4495" applyFont="1" applyAlignment="1">
      <alignment horizontal="left" vertical="top" shrinkToFit="1"/>
    </xf>
    <xf numFmtId="0" fontId="21" fillId="0" borderId="0" xfId="4495" applyFont="1" applyAlignment="1">
      <alignment horizontal="left" vertical="center" shrinkToFit="1"/>
    </xf>
    <xf numFmtId="0" fontId="31" fillId="0" borderId="4" xfId="4495" applyFont="1" applyBorder="1"/>
    <xf numFmtId="0" fontId="21" fillId="0" borderId="4" xfId="4495" applyFont="1" applyBorder="1" applyAlignment="1">
      <alignment horizontal="left" vertical="top" shrinkToFit="1"/>
    </xf>
    <xf numFmtId="0" fontId="21" fillId="0" borderId="0" xfId="4495" applyFont="1" applyAlignment="1">
      <alignment vertical="center"/>
    </xf>
    <xf numFmtId="0" fontId="27" fillId="0" borderId="0" xfId="4495" applyFont="1"/>
    <xf numFmtId="0" fontId="31" fillId="0" borderId="0" xfId="4495" applyFont="1" applyAlignment="1">
      <alignment horizontal="center"/>
    </xf>
    <xf numFmtId="0" fontId="21" fillId="0" borderId="4" xfId="4495" applyFont="1" applyBorder="1" applyAlignment="1">
      <alignment horizontal="left" vertical="top" wrapText="1"/>
    </xf>
    <xf numFmtId="44" fontId="21" fillId="0" borderId="0" xfId="707" applyFont="1" applyFill="1" applyBorder="1" applyAlignment="1" applyProtection="1">
      <alignment horizontal="left" vertical="top" wrapText="1"/>
    </xf>
    <xf numFmtId="44" fontId="21" fillId="0" borderId="4" xfId="707" applyFont="1" applyFill="1" applyBorder="1" applyAlignment="1" applyProtection="1">
      <alignment horizontal="left" vertical="top" wrapText="1"/>
    </xf>
    <xf numFmtId="164" fontId="39" fillId="0" borderId="0" xfId="4495" applyNumberFormat="1" applyFont="1" applyAlignment="1">
      <alignment horizontal="left"/>
    </xf>
    <xf numFmtId="0" fontId="31" fillId="0" borderId="0" xfId="4495" applyFont="1" applyAlignment="1">
      <alignment horizontal="left"/>
    </xf>
    <xf numFmtId="0" fontId="21" fillId="0" borderId="4" xfId="4495" applyFont="1" applyBorder="1" applyAlignment="1">
      <alignment vertical="top" wrapText="1"/>
    </xf>
    <xf numFmtId="0" fontId="31" fillId="0" borderId="4" xfId="4495" applyFont="1" applyBorder="1" applyAlignment="1">
      <alignment horizontal="left" vertical="top"/>
    </xf>
    <xf numFmtId="0" fontId="21" fillId="0" borderId="0" xfId="4495" applyFont="1" applyAlignment="1">
      <alignment horizontal="left" vertical="center" wrapText="1" shrinkToFit="1"/>
    </xf>
    <xf numFmtId="0" fontId="21" fillId="0" borderId="6" xfId="4495" applyFont="1" applyBorder="1" applyAlignment="1">
      <alignment horizontal="left" vertical="top" wrapText="1"/>
    </xf>
    <xf numFmtId="2" fontId="122" fillId="0" borderId="0" xfId="0" applyNumberFormat="1" applyFont="1" applyAlignment="1">
      <alignment horizontal="center"/>
    </xf>
    <xf numFmtId="9" fontId="21" fillId="0" borderId="0" xfId="4494" applyFont="1" applyAlignment="1">
      <alignment horizontal="center"/>
    </xf>
    <xf numFmtId="3" fontId="21" fillId="0" borderId="0" xfId="0" applyNumberFormat="1" applyFont="1"/>
    <xf numFmtId="10" fontId="21" fillId="0" borderId="0" xfId="0" applyNumberFormat="1" applyFont="1" applyAlignment="1">
      <alignment horizontal="center"/>
    </xf>
    <xf numFmtId="168" fontId="21" fillId="0" borderId="0" xfId="0" applyNumberFormat="1" applyFont="1"/>
    <xf numFmtId="172" fontId="21" fillId="0" borderId="11" xfId="0" applyNumberFormat="1" applyFont="1" applyBorder="1" applyAlignment="1">
      <alignment horizontal="center"/>
    </xf>
    <xf numFmtId="168" fontId="21" fillId="5" borderId="0" xfId="0" applyNumberFormat="1" applyFont="1" applyFill="1"/>
    <xf numFmtId="3" fontId="21" fillId="5" borderId="0" xfId="0" applyNumberFormat="1" applyFont="1" applyFill="1"/>
    <xf numFmtId="0" fontId="21" fillId="5" borderId="0" xfId="0" applyFont="1" applyFill="1"/>
    <xf numFmtId="3" fontId="21" fillId="5" borderId="6" xfId="0" applyNumberFormat="1" applyFont="1" applyFill="1" applyBorder="1"/>
    <xf numFmtId="3" fontId="21" fillId="0" borderId="6" xfId="0" applyNumberFormat="1" applyFont="1" applyBorder="1"/>
    <xf numFmtId="168" fontId="21" fillId="0" borderId="0" xfId="0" applyNumberFormat="1" applyFont="1" applyAlignment="1">
      <alignment horizontal="center"/>
    </xf>
    <xf numFmtId="3" fontId="21" fillId="0" borderId="0" xfId="0" applyNumberFormat="1" applyFont="1" applyAlignment="1">
      <alignment horizontal="center"/>
    </xf>
    <xf numFmtId="0" fontId="21" fillId="0" borderId="50" xfId="4495" applyFont="1" applyBorder="1" applyAlignment="1">
      <alignment vertical="center"/>
    </xf>
    <xf numFmtId="0" fontId="21" fillId="0" borderId="51" xfId="4495" applyFont="1" applyBorder="1" applyAlignment="1">
      <alignment vertical="center"/>
    </xf>
    <xf numFmtId="0" fontId="21" fillId="0" borderId="52" xfId="4495" applyFont="1" applyBorder="1" applyAlignment="1">
      <alignment vertical="center"/>
    </xf>
    <xf numFmtId="0" fontId="21" fillId="0" borderId="54" xfId="4495" applyFont="1" applyBorder="1" applyAlignment="1">
      <alignment vertical="center" wrapText="1"/>
    </xf>
    <xf numFmtId="0" fontId="21" fillId="0" borderId="53" xfId="4495" applyFont="1" applyBorder="1" applyAlignment="1">
      <alignment vertical="top" wrapText="1"/>
    </xf>
    <xf numFmtId="9" fontId="21" fillId="0" borderId="0" xfId="543" applyNumberFormat="1" applyAlignment="1">
      <alignment horizontal="center"/>
    </xf>
    <xf numFmtId="0" fontId="53" fillId="0" borderId="0" xfId="4496" applyFont="1"/>
    <xf numFmtId="168" fontId="57" fillId="5" borderId="11" xfId="0" applyNumberFormat="1" applyFont="1" applyFill="1" applyBorder="1" applyAlignment="1" applyProtection="1">
      <alignment vertical="top" wrapText="1"/>
      <protection locked="0"/>
    </xf>
    <xf numFmtId="0" fontId="21" fillId="0" borderId="0" xfId="0" applyFont="1" applyAlignment="1">
      <alignment horizontal="left" wrapText="1"/>
    </xf>
    <xf numFmtId="4" fontId="39" fillId="0" borderId="0" xfId="0" applyNumberFormat="1" applyFont="1" applyAlignment="1">
      <alignment horizontal="left"/>
    </xf>
    <xf numFmtId="4" fontId="21" fillId="0" borderId="0" xfId="0" applyNumberFormat="1" applyFont="1" applyAlignment="1">
      <alignment horizontal="left" vertical="top" wrapText="1"/>
    </xf>
    <xf numFmtId="0" fontId="28" fillId="0" borderId="4" xfId="0" applyFont="1" applyBorder="1" applyAlignment="1">
      <alignment horizontal="left"/>
    </xf>
    <xf numFmtId="4" fontId="21" fillId="0" borderId="0" xfId="0" applyNumberFormat="1" applyFont="1" applyAlignment="1">
      <alignment horizontal="left"/>
    </xf>
    <xf numFmtId="43" fontId="55" fillId="0" borderId="0" xfId="4503" applyFont="1" applyAlignment="1" applyProtection="1">
      <alignment horizontal="center"/>
    </xf>
    <xf numFmtId="43" fontId="21" fillId="0" borderId="0" xfId="4503" applyFont="1" applyAlignment="1" applyProtection="1">
      <alignment horizontal="center"/>
    </xf>
    <xf numFmtId="43" fontId="21" fillId="0" borderId="0" xfId="4503" applyFont="1" applyProtection="1"/>
    <xf numFmtId="49" fontId="21" fillId="0" borderId="0" xfId="0" applyNumberFormat="1" applyFont="1"/>
    <xf numFmtId="49" fontId="21" fillId="0" borderId="0" xfId="0" applyNumberFormat="1" applyFont="1" applyAlignment="1">
      <alignment horizontal="center"/>
    </xf>
    <xf numFmtId="4" fontId="21" fillId="0" borderId="0" xfId="0" applyNumberFormat="1" applyFont="1" applyAlignment="1">
      <alignment vertical="top" wrapText="1"/>
    </xf>
    <xf numFmtId="0" fontId="21" fillId="0" borderId="0" xfId="0" quotePrefix="1" applyFont="1"/>
    <xf numFmtId="0" fontId="51" fillId="0" borderId="0" xfId="0" applyFont="1" applyAlignment="1">
      <alignment horizontal="left"/>
    </xf>
    <xf numFmtId="0" fontId="21" fillId="0" borderId="4" xfId="0" applyFont="1" applyBorder="1" applyAlignment="1">
      <alignment horizontal="left"/>
    </xf>
    <xf numFmtId="0" fontId="21" fillId="0" borderId="0" xfId="0" quotePrefix="1" applyFont="1" applyAlignment="1">
      <alignment horizontal="left"/>
    </xf>
    <xf numFmtId="0" fontId="21" fillId="0" borderId="0" xfId="0" quotePrefix="1" applyFont="1" applyAlignment="1">
      <alignment horizontal="left" vertical="top"/>
    </xf>
    <xf numFmtId="0" fontId="51" fillId="0" borderId="0" xfId="1192" applyFont="1" applyAlignment="1">
      <alignment horizontal="left"/>
    </xf>
    <xf numFmtId="0" fontId="55" fillId="0" borderId="0" xfId="0" applyFont="1" applyAlignment="1">
      <alignment horizontal="center" vertical="center"/>
    </xf>
    <xf numFmtId="49" fontId="28" fillId="0" borderId="0" xfId="0" applyNumberFormat="1" applyFont="1" applyAlignment="1">
      <alignment horizontal="center" vertical="center"/>
    </xf>
    <xf numFmtId="49" fontId="21" fillId="0" borderId="0" xfId="0" applyNumberFormat="1" applyFont="1" applyAlignment="1">
      <alignment vertical="center"/>
    </xf>
    <xf numFmtId="4" fontId="21" fillId="0" borderId="0" xfId="0" applyNumberFormat="1" applyFont="1" applyAlignment="1">
      <alignment horizontal="center"/>
    </xf>
    <xf numFmtId="4" fontId="21" fillId="0" borderId="0" xfId="0" applyNumberFormat="1" applyFont="1"/>
    <xf numFmtId="10" fontId="21" fillId="0" borderId="0" xfId="4495" applyNumberFormat="1" applyFont="1"/>
    <xf numFmtId="10" fontId="126" fillId="0" borderId="0" xfId="4496" applyNumberFormat="1" applyFont="1" applyAlignment="1">
      <alignment horizontal="center" vertical="top" wrapText="1"/>
    </xf>
    <xf numFmtId="10" fontId="126" fillId="0" borderId="64" xfId="4496" applyNumberFormat="1" applyFont="1" applyBorder="1" applyAlignment="1">
      <alignment horizontal="center" vertical="top" wrapText="1"/>
    </xf>
    <xf numFmtId="10" fontId="126"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21" fillId="0" borderId="0" xfId="1192" quotePrefix="1" applyNumberFormat="1" applyAlignment="1">
      <alignment horizontal="center"/>
    </xf>
    <xf numFmtId="0" fontId="126" fillId="0" borderId="0" xfId="4495" applyFont="1"/>
    <xf numFmtId="10" fontId="126" fillId="0" borderId="0" xfId="4495" applyNumberFormat="1" applyFont="1"/>
    <xf numFmtId="172" fontId="21" fillId="0" borderId="0" xfId="4495" applyNumberFormat="1" applyFont="1"/>
    <xf numFmtId="0" fontId="44" fillId="0" borderId="0" xfId="0" applyFont="1" applyAlignment="1">
      <alignment horizontal="center"/>
    </xf>
    <xf numFmtId="0" fontId="40" fillId="0" borderId="0" xfId="0" applyFont="1" applyAlignment="1">
      <alignment horizontal="left"/>
    </xf>
    <xf numFmtId="0" fontId="0" fillId="0" borderId="10" xfId="0" applyBorder="1" applyAlignment="1">
      <alignment horizontal="left"/>
    </xf>
    <xf numFmtId="1" fontId="21" fillId="0" borderId="0" xfId="1192" applyNumberFormat="1" applyAlignment="1">
      <alignment horizontal="center"/>
    </xf>
    <xf numFmtId="0" fontId="124" fillId="0" borderId="63" xfId="4495" applyBorder="1"/>
    <xf numFmtId="0" fontId="57" fillId="0" borderId="0" xfId="271" applyFont="1" applyAlignment="1">
      <alignment vertical="top"/>
    </xf>
    <xf numFmtId="0" fontId="28" fillId="0" borderId="11" xfId="0" applyFont="1" applyBorder="1" applyAlignment="1">
      <alignment horizontal="right" vertical="top" wrapText="1"/>
    </xf>
    <xf numFmtId="0" fontId="30" fillId="0" borderId="11" xfId="271" applyBorder="1" applyAlignment="1" applyProtection="1">
      <alignment horizontal="right" vertical="top" wrapText="1"/>
      <protection locked="0"/>
    </xf>
    <xf numFmtId="0" fontId="21" fillId="0" borderId="54" xfId="4495" applyFont="1" applyBorder="1" applyAlignment="1">
      <alignment vertical="top"/>
    </xf>
    <xf numFmtId="9" fontId="30" fillId="0" borderId="0" xfId="0" applyNumberFormat="1" applyFont="1"/>
    <xf numFmtId="0" fontId="21" fillId="0" borderId="16" xfId="569" applyBorder="1" applyAlignment="1">
      <alignment horizontal="center"/>
    </xf>
    <xf numFmtId="164" fontId="21" fillId="0" borderId="57" xfId="4495" applyNumberFormat="1" applyFont="1" applyBorder="1" applyAlignment="1">
      <alignment vertical="top" wrapText="1"/>
    </xf>
    <xf numFmtId="164" fontId="21" fillId="0" borderId="58" xfId="4495" applyNumberFormat="1" applyFont="1" applyBorder="1" applyAlignment="1">
      <alignment vertical="top" wrapText="1"/>
    </xf>
    <xf numFmtId="164" fontId="21" fillId="0" borderId="59" xfId="4495" applyNumberFormat="1" applyFont="1" applyBorder="1" applyAlignment="1">
      <alignment vertical="top" wrapText="1"/>
    </xf>
    <xf numFmtId="0" fontId="28" fillId="0" borderId="0" xfId="1192" applyFont="1" applyAlignment="1">
      <alignment horizontal="left" vertical="top" wrapText="1"/>
    </xf>
    <xf numFmtId="0" fontId="21" fillId="0" borderId="16" xfId="569" applyBorder="1"/>
    <xf numFmtId="0" fontId="21" fillId="0" borderId="4" xfId="569" applyBorder="1"/>
    <xf numFmtId="0" fontId="28" fillId="0" borderId="4" xfId="569" applyFont="1" applyBorder="1"/>
    <xf numFmtId="49" fontId="21" fillId="0" borderId="4" xfId="569" applyNumberFormat="1" applyBorder="1"/>
    <xf numFmtId="0" fontId="152" fillId="0" borderId="0" xfId="0" applyFont="1"/>
    <xf numFmtId="0" fontId="21" fillId="0" borderId="0" xfId="0" applyFont="1" applyAlignment="1">
      <alignment horizontal="right"/>
    </xf>
    <xf numFmtId="1" fontId="21" fillId="0" borderId="0" xfId="0" applyNumberFormat="1" applyFont="1" applyAlignment="1">
      <alignment horizontal="center"/>
    </xf>
    <xf numFmtId="0" fontId="28" fillId="0" borderId="0" xfId="0" applyFont="1" applyAlignment="1">
      <alignment horizontal="left" vertical="center"/>
    </xf>
    <xf numFmtId="0" fontId="21" fillId="0" borderId="0" xfId="0" applyFont="1" applyAlignment="1">
      <alignment horizontal="left" vertical="center"/>
    </xf>
    <xf numFmtId="0" fontId="28" fillId="0" borderId="0" xfId="569" applyFont="1" applyAlignment="1">
      <alignment vertical="top"/>
    </xf>
    <xf numFmtId="0" fontId="22" fillId="0" borderId="0" xfId="244" applyAlignment="1"/>
    <xf numFmtId="0" fontId="28" fillId="0" borderId="0" xfId="0" applyFont="1" applyAlignment="1">
      <alignment vertical="top" wrapText="1"/>
    </xf>
    <xf numFmtId="49" fontId="28" fillId="0" borderId="0" xfId="0" applyNumberFormat="1" applyFont="1"/>
    <xf numFmtId="49" fontId="28" fillId="0" borderId="0" xfId="0" applyNumberFormat="1" applyFont="1" applyAlignment="1">
      <alignment vertical="top"/>
    </xf>
    <xf numFmtId="0" fontId="44" fillId="0" borderId="11" xfId="0" applyFont="1" applyBorder="1"/>
    <xf numFmtId="175" fontId="21" fillId="0" borderId="0" xfId="543" applyNumberFormat="1" applyAlignment="1">
      <alignment vertical="center"/>
    </xf>
    <xf numFmtId="0" fontId="102" fillId="43" borderId="6" xfId="4496" applyFont="1" applyFill="1" applyBorder="1" applyAlignment="1" applyProtection="1">
      <alignment horizontal="center"/>
      <protection locked="0"/>
    </xf>
    <xf numFmtId="0" fontId="102" fillId="0" borderId="0" xfId="4496" applyFont="1"/>
    <xf numFmtId="0" fontId="102" fillId="0" borderId="0" xfId="4496" applyFont="1" applyAlignment="1">
      <alignment wrapText="1"/>
    </xf>
    <xf numFmtId="0" fontId="140" fillId="0" borderId="0" xfId="4496" applyFont="1"/>
    <xf numFmtId="181" fontId="141" fillId="0" borderId="0" xfId="4498" applyNumberFormat="1" applyFont="1" applyBorder="1" applyProtection="1"/>
    <xf numFmtId="0" fontId="142" fillId="0" borderId="0" xfId="4496" applyFont="1" applyAlignment="1">
      <alignment vertical="center" wrapText="1"/>
    </xf>
    <xf numFmtId="49" fontId="102" fillId="0" borderId="0" xfId="4496" applyNumberFormat="1" applyFont="1" applyAlignment="1">
      <alignment horizontal="center"/>
    </xf>
    <xf numFmtId="182" fontId="102" fillId="0" borderId="6" xfId="4496" applyNumberFormat="1" applyFont="1" applyBorder="1"/>
    <xf numFmtId="0" fontId="102" fillId="0" borderId="0" xfId="4496" applyFont="1" applyAlignment="1">
      <alignment vertical="center"/>
    </xf>
    <xf numFmtId="182" fontId="102" fillId="0" borderId="0" xfId="4496" applyNumberFormat="1" applyFont="1" applyAlignment="1">
      <alignment vertical="center"/>
    </xf>
    <xf numFmtId="175" fontId="102" fillId="0" borderId="0" xfId="4499" applyNumberFormat="1" applyFont="1" applyFill="1" applyBorder="1" applyAlignment="1" applyProtection="1">
      <alignment horizontal="left" vertical="center"/>
    </xf>
    <xf numFmtId="9" fontId="102" fillId="0" borderId="0" xfId="4499" applyFont="1" applyFill="1" applyBorder="1" applyAlignment="1" applyProtection="1">
      <alignment vertical="center"/>
    </xf>
    <xf numFmtId="183" fontId="102" fillId="0" borderId="0" xfId="4496" applyNumberFormat="1" applyFont="1" applyAlignment="1">
      <alignment vertical="center" wrapText="1"/>
    </xf>
    <xf numFmtId="9" fontId="102" fillId="0" borderId="0" xfId="4499" applyFont="1" applyBorder="1" applyAlignment="1" applyProtection="1">
      <alignment vertical="center"/>
    </xf>
    <xf numFmtId="164" fontId="102" fillId="0" borderId="0" xfId="4496" applyNumberFormat="1" applyFont="1" applyAlignment="1">
      <alignment vertical="center" wrapText="1"/>
    </xf>
    <xf numFmtId="0" fontId="102" fillId="0" borderId="0" xfId="4496" applyFont="1" applyAlignment="1">
      <alignment horizontal="center" vertical="center"/>
    </xf>
    <xf numFmtId="182" fontId="102" fillId="0" borderId="11" xfId="8721" applyNumberFormat="1" applyFont="1" applyBorder="1" applyProtection="1"/>
    <xf numFmtId="182" fontId="102" fillId="0" borderId="11" xfId="4496" applyNumberFormat="1" applyFont="1" applyBorder="1"/>
    <xf numFmtId="164" fontId="102" fillId="0" borderId="0" xfId="4496" applyNumberFormat="1" applyFont="1" applyAlignment="1">
      <alignment wrapText="1"/>
    </xf>
    <xf numFmtId="49" fontId="102" fillId="0" borderId="0" xfId="4496" applyNumberFormat="1" applyFont="1" applyAlignment="1">
      <alignment horizontal="left"/>
    </xf>
    <xf numFmtId="0" fontId="143" fillId="0" borderId="0" xfId="4496" applyFont="1"/>
    <xf numFmtId="9" fontId="102" fillId="0" borderId="11" xfId="4494" applyFont="1" applyFill="1" applyBorder="1" applyAlignment="1" applyProtection="1">
      <alignment horizontal="right"/>
    </xf>
    <xf numFmtId="1" fontId="102" fillId="0" borderId="0" xfId="4496" applyNumberFormat="1" applyFont="1"/>
    <xf numFmtId="0" fontId="140" fillId="45" borderId="3" xfId="4496" applyFont="1" applyFill="1" applyBorder="1" applyAlignment="1">
      <alignment horizontal="left" indent="1"/>
    </xf>
    <xf numFmtId="0" fontId="102" fillId="45" borderId="4" xfId="4496" applyFont="1" applyFill="1" applyBorder="1"/>
    <xf numFmtId="2" fontId="102" fillId="45" borderId="5" xfId="4496" applyNumberFormat="1" applyFont="1" applyFill="1" applyBorder="1"/>
    <xf numFmtId="181" fontId="102" fillId="0" borderId="0" xfId="4496" applyNumberFormat="1" applyFont="1"/>
    <xf numFmtId="165" fontId="141" fillId="0" borderId="0" xfId="4499" applyNumberFormat="1" applyFont="1" applyFill="1" applyBorder="1" applyProtection="1"/>
    <xf numFmtId="9" fontId="102" fillId="0" borderId="0" xfId="4494" applyFont="1" applyFill="1" applyProtection="1"/>
    <xf numFmtId="0" fontId="102" fillId="0" borderId="11" xfId="4496" applyFont="1" applyBorder="1" applyAlignment="1">
      <alignment horizontal="center"/>
    </xf>
    <xf numFmtId="2" fontId="102" fillId="0" borderId="11" xfId="4496" applyNumberFormat="1" applyFont="1" applyBorder="1" applyAlignment="1">
      <alignment horizontal="center"/>
    </xf>
    <xf numFmtId="0" fontId="102" fillId="0" borderId="0" xfId="4496" applyFont="1" applyAlignment="1">
      <alignment vertical="top" wrapText="1"/>
    </xf>
    <xf numFmtId="0" fontId="102" fillId="0" borderId="11" xfId="4496" applyFont="1" applyBorder="1" applyAlignment="1">
      <alignment horizontal="center" vertical="top" wrapText="1"/>
    </xf>
    <xf numFmtId="182" fontId="102" fillId="0" borderId="0" xfId="8721" applyNumberFormat="1" applyFont="1" applyBorder="1" applyProtection="1"/>
    <xf numFmtId="0" fontId="102" fillId="0" borderId="0" xfId="4496" applyFont="1" applyAlignment="1">
      <alignment horizontal="left" indent="1"/>
    </xf>
    <xf numFmtId="182" fontId="102" fillId="0" borderId="0" xfId="4496" applyNumberFormat="1" applyFont="1"/>
    <xf numFmtId="184" fontId="102" fillId="0" borderId="0" xfId="4496" applyNumberFormat="1" applyFont="1"/>
    <xf numFmtId="0" fontId="102" fillId="0" borderId="0" xfId="4496" applyFont="1" applyAlignment="1">
      <alignment horizontal="left"/>
    </xf>
    <xf numFmtId="0" fontId="102" fillId="0" borderId="0" xfId="4496" applyFont="1" applyAlignment="1">
      <alignment horizontal="center"/>
    </xf>
    <xf numFmtId="3" fontId="26" fillId="0" borderId="11" xfId="271" applyNumberFormat="1" applyFont="1" applyBorder="1" applyAlignment="1">
      <alignment horizontal="center"/>
    </xf>
    <xf numFmtId="3" fontId="26" fillId="43" borderId="11" xfId="271" applyNumberFormat="1" applyFont="1" applyFill="1" applyBorder="1" applyProtection="1">
      <protection locked="0"/>
    </xf>
    <xf numFmtId="0" fontId="102" fillId="0" borderId="0" xfId="4496" applyFont="1" applyAlignment="1">
      <alignment horizontal="right"/>
    </xf>
    <xf numFmtId="168" fontId="30" fillId="0" borderId="0" xfId="0" applyNumberFormat="1" applyFont="1"/>
    <xf numFmtId="0" fontId="102" fillId="0" borderId="15" xfId="4496" applyFont="1" applyBorder="1" applyAlignment="1">
      <alignment horizontal="center" vertical="top" wrapText="1"/>
    </xf>
    <xf numFmtId="2" fontId="102" fillId="0" borderId="15" xfId="4496" applyNumberFormat="1" applyFont="1" applyBorder="1" applyAlignment="1">
      <alignment horizontal="center"/>
    </xf>
    <xf numFmtId="0" fontId="102" fillId="0" borderId="15" xfId="4496" applyFont="1" applyBorder="1" applyAlignment="1">
      <alignment horizontal="center"/>
    </xf>
    <xf numFmtId="0" fontId="140" fillId="0" borderId="68" xfId="4496" applyFont="1" applyBorder="1" applyAlignment="1">
      <alignment horizontal="center" vertical="top" wrapText="1"/>
    </xf>
    <xf numFmtId="0" fontId="140" fillId="0" borderId="68" xfId="4496" applyFont="1" applyBorder="1" applyAlignment="1">
      <alignment horizontal="center"/>
    </xf>
    <xf numFmtId="0" fontId="154" fillId="0" borderId="0" xfId="4496" applyFont="1" applyAlignment="1">
      <alignment horizontal="right" vertical="center"/>
    </xf>
    <xf numFmtId="175" fontId="102" fillId="0" borderId="0" xfId="4499" applyNumberFormat="1" applyFont="1" applyFill="1" applyBorder="1" applyAlignment="1" applyProtection="1">
      <alignment horizontal="right" vertical="center"/>
    </xf>
    <xf numFmtId="0" fontId="102" fillId="0" borderId="66" xfId="4496" applyFont="1" applyBorder="1" applyAlignment="1">
      <alignment vertical="center"/>
    </xf>
    <xf numFmtId="0" fontId="102" fillId="0" borderId="41" xfId="4496" applyFont="1" applyBorder="1" applyAlignment="1">
      <alignment vertical="center"/>
    </xf>
    <xf numFmtId="182" fontId="102" fillId="0" borderId="73" xfId="4496" applyNumberFormat="1" applyFont="1" applyBorder="1" applyAlignment="1">
      <alignment vertical="center"/>
    </xf>
    <xf numFmtId="175" fontId="102" fillId="0" borderId="42" xfId="4499" applyNumberFormat="1" applyFont="1" applyFill="1" applyBorder="1" applyAlignment="1" applyProtection="1">
      <alignment horizontal="left" vertical="center"/>
    </xf>
    <xf numFmtId="0" fontId="102" fillId="0" borderId="42" xfId="4496" applyFont="1" applyBorder="1" applyAlignment="1">
      <alignment vertical="center"/>
    </xf>
    <xf numFmtId="0" fontId="102" fillId="0" borderId="44" xfId="4496" applyFont="1" applyBorder="1" applyAlignment="1">
      <alignment vertical="center"/>
    </xf>
    <xf numFmtId="49" fontId="102" fillId="0" borderId="0" xfId="4496" applyNumberFormat="1" applyFont="1" applyAlignment="1">
      <alignment horizontal="center" vertical="center"/>
    </xf>
    <xf numFmtId="0" fontId="102" fillId="0" borderId="65" xfId="4496" applyFont="1" applyBorder="1" applyAlignment="1">
      <alignment vertical="center"/>
    </xf>
    <xf numFmtId="0" fontId="102" fillId="0" borderId="29" xfId="4496" applyFont="1" applyBorder="1" applyAlignment="1">
      <alignment vertical="center"/>
    </xf>
    <xf numFmtId="0" fontId="102" fillId="0" borderId="29" xfId="4496" applyFont="1" applyBorder="1" applyAlignment="1">
      <alignment horizontal="right" vertical="center"/>
    </xf>
    <xf numFmtId="5" fontId="102" fillId="0" borderId="29" xfId="4496" applyNumberFormat="1" applyFont="1" applyBorder="1" applyAlignment="1">
      <alignment vertical="center"/>
    </xf>
    <xf numFmtId="0" fontId="102" fillId="0" borderId="31" xfId="4496" applyFont="1" applyBorder="1" applyAlignment="1">
      <alignment vertical="center"/>
    </xf>
    <xf numFmtId="175" fontId="140" fillId="0" borderId="42" xfId="4494" applyNumberFormat="1" applyFont="1" applyFill="1" applyBorder="1" applyAlignment="1" applyProtection="1">
      <alignment horizontal="center" vertical="center"/>
    </xf>
    <xf numFmtId="0" fontId="140" fillId="0" borderId="29" xfId="4496" applyFont="1" applyBorder="1" applyAlignment="1">
      <alignment vertical="center"/>
    </xf>
    <xf numFmtId="0" fontId="140" fillId="0" borderId="0" xfId="4496" applyFont="1" applyAlignment="1">
      <alignment vertical="center"/>
    </xf>
    <xf numFmtId="0" fontId="140" fillId="0" borderId="42" xfId="4496" applyFont="1" applyBorder="1" applyAlignment="1">
      <alignment vertical="center"/>
    </xf>
    <xf numFmtId="9" fontId="140" fillId="0" borderId="42" xfId="4499" applyFont="1" applyFill="1" applyBorder="1" applyAlignment="1" applyProtection="1">
      <alignment vertical="center"/>
    </xf>
    <xf numFmtId="182" fontId="140" fillId="0" borderId="68" xfId="8721" applyNumberFormat="1" applyFont="1" applyBorder="1" applyProtection="1"/>
    <xf numFmtId="182" fontId="140" fillId="0" borderId="68" xfId="4496" applyNumberFormat="1" applyFont="1" applyBorder="1"/>
    <xf numFmtId="0" fontId="154" fillId="0" borderId="0" xfId="4496" applyFont="1" applyAlignment="1">
      <alignment horizontal="right"/>
    </xf>
    <xf numFmtId="0" fontId="102" fillId="0" borderId="0" xfId="4496" applyFont="1" applyAlignment="1">
      <alignment horizontal="right" vertical="top" wrapText="1" indent="1"/>
    </xf>
    <xf numFmtId="182" fontId="102" fillId="0" borderId="6" xfId="8721" applyNumberFormat="1" applyFont="1" applyBorder="1" applyAlignment="1" applyProtection="1">
      <alignment horizontal="center"/>
    </xf>
    <xf numFmtId="0" fontId="102" fillId="0" borderId="0" xfId="4496" applyFont="1" applyAlignment="1">
      <alignment horizontal="right" indent="1"/>
    </xf>
    <xf numFmtId="0" fontId="102" fillId="0" borderId="0" xfId="4496" applyFont="1" applyAlignment="1">
      <alignment horizontal="right" vertical="top"/>
    </xf>
    <xf numFmtId="0" fontId="140" fillId="0" borderId="0" xfId="4496" applyFont="1" applyAlignment="1">
      <alignment horizontal="right"/>
    </xf>
    <xf numFmtId="182" fontId="140" fillId="0" borderId="0" xfId="8721" applyNumberFormat="1" applyFont="1" applyBorder="1" applyAlignment="1" applyProtection="1">
      <alignment horizontal="center"/>
    </xf>
    <xf numFmtId="10" fontId="102" fillId="0" borderId="0" xfId="4494" applyNumberFormat="1" applyFont="1" applyBorder="1" applyAlignment="1" applyProtection="1">
      <alignment horizontal="center"/>
    </xf>
    <xf numFmtId="184" fontId="102" fillId="0" borderId="6" xfId="4496" applyNumberFormat="1" applyFont="1" applyBorder="1"/>
    <xf numFmtId="0" fontId="140" fillId="0" borderId="0" xfId="4496" applyFont="1" applyAlignment="1">
      <alignment horizontal="right" vertical="top"/>
    </xf>
    <xf numFmtId="182" fontId="140" fillId="0" borderId="0" xfId="4496" applyNumberFormat="1" applyFont="1"/>
    <xf numFmtId="182" fontId="102" fillId="0" borderId="6" xfId="8721" applyNumberFormat="1" applyFont="1" applyBorder="1" applyProtection="1"/>
    <xf numFmtId="184" fontId="102" fillId="0" borderId="0" xfId="4496" applyNumberFormat="1" applyFont="1" applyAlignment="1">
      <alignment horizontal="center"/>
    </xf>
    <xf numFmtId="0" fontId="102" fillId="0" borderId="6" xfId="4496" applyFont="1" applyBorder="1" applyAlignment="1">
      <alignment horizontal="right" vertical="top" wrapText="1" indent="1"/>
    </xf>
    <xf numFmtId="0" fontId="102" fillId="0" borderId="67" xfId="4496" applyFont="1" applyBorder="1" applyAlignment="1">
      <alignment horizontal="right" indent="1"/>
    </xf>
    <xf numFmtId="0" fontId="102" fillId="0" borderId="72" xfId="4496" applyFont="1" applyBorder="1" applyAlignment="1">
      <alignment horizontal="right" indent="1"/>
    </xf>
    <xf numFmtId="0" fontId="102" fillId="0" borderId="72" xfId="4496" quotePrefix="1" applyFont="1" applyBorder="1" applyAlignment="1">
      <alignment horizontal="right" indent="1"/>
    </xf>
    <xf numFmtId="0" fontId="102" fillId="0" borderId="69" xfId="4496" applyFont="1" applyBorder="1" applyAlignment="1">
      <alignment horizontal="right" indent="1"/>
    </xf>
    <xf numFmtId="182" fontId="102" fillId="0" borderId="71" xfId="4496" applyNumberFormat="1" applyFont="1" applyBorder="1"/>
    <xf numFmtId="182" fontId="102" fillId="0" borderId="76" xfId="4496" applyNumberFormat="1" applyFont="1" applyBorder="1"/>
    <xf numFmtId="182" fontId="102" fillId="0" borderId="77" xfId="4496" applyNumberFormat="1" applyFont="1" applyBorder="1"/>
    <xf numFmtId="175" fontId="28" fillId="0" borderId="0" xfId="543" applyNumberFormat="1" applyFont="1" applyAlignment="1">
      <alignment vertical="center"/>
    </xf>
    <xf numFmtId="10" fontId="140" fillId="0" borderId="0" xfId="4494" applyNumberFormat="1" applyFont="1" applyProtection="1"/>
    <xf numFmtId="0" fontId="28" fillId="0" borderId="0" xfId="1192" applyFont="1" applyAlignment="1">
      <alignment horizontal="left" indent="1"/>
    </xf>
    <xf numFmtId="168" fontId="102" fillId="0" borderId="11" xfId="4499" applyNumberFormat="1" applyFont="1" applyFill="1" applyBorder="1" applyAlignment="1" applyProtection="1">
      <alignment horizontal="left" vertical="center" indent="1"/>
    </xf>
    <xf numFmtId="168" fontId="140" fillId="0" borderId="68" xfId="4499" applyNumberFormat="1" applyFont="1" applyFill="1" applyBorder="1" applyAlignment="1" applyProtection="1">
      <alignment horizontal="left" vertical="center" indent="1"/>
    </xf>
    <xf numFmtId="182" fontId="102" fillId="0" borderId="13" xfId="4496" applyNumberFormat="1" applyFont="1" applyBorder="1"/>
    <xf numFmtId="182" fontId="102" fillId="0" borderId="70" xfId="4496" applyNumberFormat="1" applyFont="1" applyBorder="1"/>
    <xf numFmtId="0" fontId="39" fillId="0" borderId="0" xfId="4495" applyFont="1" applyAlignment="1">
      <alignment vertical="center"/>
    </xf>
    <xf numFmtId="0" fontId="126" fillId="0" borderId="0" xfId="4496" applyFont="1" applyAlignment="1">
      <alignment vertical="center" wrapText="1"/>
    </xf>
    <xf numFmtId="0" fontId="26" fillId="43" borderId="0" xfId="1192" applyFont="1" applyFill="1"/>
    <xf numFmtId="3" fontId="72" fillId="43" borderId="6" xfId="1192" applyNumberFormat="1" applyFont="1" applyFill="1" applyBorder="1"/>
    <xf numFmtId="0" fontId="156" fillId="0" borderId="0" xfId="0" applyFont="1"/>
    <xf numFmtId="0" fontId="26"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57" fillId="5" borderId="11" xfId="0" applyFont="1" applyFill="1" applyBorder="1" applyAlignment="1" applyProtection="1">
      <alignment horizontal="right" vertical="top" wrapText="1"/>
      <protection locked="0"/>
    </xf>
    <xf numFmtId="0" fontId="21" fillId="43" borderId="3" xfId="569" applyFill="1" applyBorder="1"/>
    <xf numFmtId="0" fontId="161" fillId="0" borderId="0" xfId="0" applyFont="1" applyAlignment="1">
      <alignment horizontal="right"/>
    </xf>
    <xf numFmtId="1" fontId="29" fillId="0" borderId="0" xfId="4495" applyNumberFormat="1" applyFont="1"/>
    <xf numFmtId="0" fontId="28" fillId="0" borderId="4" xfId="569" applyFont="1" applyBorder="1" applyAlignment="1">
      <alignment horizontal="center"/>
    </xf>
    <xf numFmtId="43" fontId="28" fillId="0" borderId="0" xfId="4503" applyFont="1" applyAlignment="1" applyProtection="1">
      <alignment horizontal="center"/>
    </xf>
    <xf numFmtId="0" fontId="28" fillId="0" borderId="0" xfId="569" applyFont="1" applyAlignment="1">
      <alignment horizontal="center" vertical="center"/>
    </xf>
    <xf numFmtId="0" fontId="28" fillId="0" borderId="16" xfId="569" applyFont="1" applyBorder="1" applyAlignment="1">
      <alignment horizontal="center"/>
    </xf>
    <xf numFmtId="49" fontId="28" fillId="0" borderId="4" xfId="569" applyNumberFormat="1" applyFont="1" applyBorder="1" applyAlignment="1">
      <alignment horizontal="center"/>
    </xf>
    <xf numFmtId="4" fontId="28" fillId="0" borderId="0" xfId="569" applyNumberFormat="1" applyFont="1" applyAlignment="1">
      <alignment horizontal="center"/>
    </xf>
    <xf numFmtId="0" fontId="21" fillId="0" borderId="0" xfId="569" applyAlignment="1">
      <alignment horizontal="center" wrapText="1"/>
    </xf>
    <xf numFmtId="0" fontId="21" fillId="0" borderId="0" xfId="0" applyFont="1" applyAlignment="1">
      <alignment vertical="center" wrapText="1"/>
    </xf>
    <xf numFmtId="3" fontId="26" fillId="43" borderId="11" xfId="271" applyNumberFormat="1" applyFont="1" applyFill="1" applyBorder="1" applyAlignment="1" applyProtection="1">
      <alignment horizontal="left"/>
      <protection locked="0"/>
    </xf>
    <xf numFmtId="0" fontId="102" fillId="43" borderId="6" xfId="4496" applyFont="1" applyFill="1" applyBorder="1" applyProtection="1">
      <protection locked="0"/>
    </xf>
    <xf numFmtId="1" fontId="102" fillId="0" borderId="0" xfId="4496" applyNumberFormat="1" applyFont="1" applyProtection="1">
      <protection locked="0"/>
    </xf>
    <xf numFmtId="182" fontId="166" fillId="0" borderId="11" xfId="4496" applyNumberFormat="1" applyFont="1" applyBorder="1"/>
    <xf numFmtId="44" fontId="102" fillId="0" borderId="0" xfId="4496" applyNumberFormat="1" applyFont="1"/>
    <xf numFmtId="182" fontId="26" fillId="0" borderId="11" xfId="4496" applyNumberFormat="1" applyFont="1" applyBorder="1"/>
    <xf numFmtId="9" fontId="102" fillId="0" borderId="0" xfId="4494" applyFont="1"/>
    <xf numFmtId="182" fontId="102" fillId="43" borderId="6" xfId="8721" applyNumberFormat="1" applyFont="1" applyFill="1" applyBorder="1" applyProtection="1">
      <protection locked="0"/>
    </xf>
    <xf numFmtId="0" fontId="21" fillId="0" borderId="0" xfId="4495" applyFont="1" applyAlignment="1">
      <alignment wrapText="1"/>
    </xf>
    <xf numFmtId="168" fontId="178" fillId="48" borderId="79" xfId="700" applyNumberFormat="1" applyFont="1" applyFill="1" applyBorder="1" applyAlignment="1" applyProtection="1">
      <protection locked="0"/>
    </xf>
    <xf numFmtId="3" fontId="49" fillId="10" borderId="0" xfId="543" applyNumberFormat="1" applyFont="1" applyFill="1" applyAlignment="1">
      <alignment vertical="center" wrapText="1"/>
    </xf>
    <xf numFmtId="0" fontId="185" fillId="0" borderId="0" xfId="543" applyFont="1" applyAlignment="1">
      <alignment horizontal="left" vertical="center"/>
    </xf>
    <xf numFmtId="0" fontId="186" fillId="0" borderId="0" xfId="543" applyFont="1" applyAlignment="1">
      <alignment horizontal="right" vertical="top" wrapText="1"/>
    </xf>
    <xf numFmtId="168" fontId="186" fillId="0" borderId="0" xfId="543" applyNumberFormat="1" applyFont="1" applyAlignment="1">
      <alignment horizontal="center" vertical="center"/>
    </xf>
    <xf numFmtId="0" fontId="187" fillId="0" borderId="0" xfId="543" applyFont="1" applyAlignment="1">
      <alignment horizontal="left" vertical="center"/>
    </xf>
    <xf numFmtId="0" fontId="187" fillId="0" borderId="0" xfId="543" applyFont="1" applyAlignment="1">
      <alignment horizontal="right" vertical="top" wrapText="1"/>
    </xf>
    <xf numFmtId="168" fontId="186" fillId="0" borderId="104" xfId="543" applyNumberFormat="1" applyFont="1" applyBorder="1" applyAlignment="1">
      <alignment horizontal="center" vertical="center"/>
    </xf>
    <xf numFmtId="0" fontId="187" fillId="0" borderId="106" xfId="543" applyFont="1" applyBorder="1" applyAlignment="1">
      <alignment horizontal="right" vertical="top" wrapText="1"/>
    </xf>
    <xf numFmtId="0" fontId="28" fillId="0" borderId="0" xfId="4495" applyFont="1" applyAlignment="1">
      <alignment wrapText="1"/>
    </xf>
    <xf numFmtId="182" fontId="21" fillId="0" borderId="0" xfId="700" applyNumberFormat="1" applyFont="1"/>
    <xf numFmtId="9" fontId="21" fillId="0" borderId="0" xfId="1022" applyFont="1"/>
    <xf numFmtId="168" fontId="21"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6" fillId="52" borderId="113" xfId="0" applyFont="1" applyFill="1" applyBorder="1"/>
    <xf numFmtId="0" fontId="126" fillId="53" borderId="113" xfId="0" applyFont="1" applyFill="1" applyBorder="1"/>
    <xf numFmtId="1" fontId="0" fillId="0" borderId="0" xfId="0" applyNumberFormat="1"/>
    <xf numFmtId="0" fontId="22"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2" fillId="0" borderId="0" xfId="244" applyAlignment="1">
      <alignment horizontal="left" vertical="top"/>
    </xf>
    <xf numFmtId="9" fontId="21" fillId="0" borderId="0" xfId="0" applyNumberFormat="1" applyFont="1"/>
    <xf numFmtId="185" fontId="172" fillId="0" borderId="0" xfId="698" applyNumberFormat="1" applyFont="1"/>
    <xf numFmtId="0" fontId="189" fillId="0" borderId="0" xfId="0" applyFont="1" applyAlignment="1">
      <alignment horizontal="center"/>
    </xf>
    <xf numFmtId="0" fontId="21" fillId="0" borderId="0" xfId="569" quotePrefix="1"/>
    <xf numFmtId="168" fontId="159" fillId="0" borderId="0" xfId="0" applyNumberFormat="1" applyFont="1" applyAlignment="1">
      <alignment vertical="center" wrapText="1"/>
    </xf>
    <xf numFmtId="168" fontId="190" fillId="0" borderId="0" xfId="0" applyNumberFormat="1" applyFont="1" applyAlignment="1">
      <alignment horizontal="center" vertical="center" wrapText="1"/>
    </xf>
    <xf numFmtId="0" fontId="0" fillId="0" borderId="0" xfId="0" applyAlignment="1">
      <alignment vertical="center"/>
    </xf>
    <xf numFmtId="0" fontId="28" fillId="0" borderId="0" xfId="4495" quotePrefix="1" applyFont="1"/>
    <xf numFmtId="0" fontId="28" fillId="0" borderId="0" xfId="4495" applyFont="1" applyAlignment="1">
      <alignment horizontal="left" vertical="center"/>
    </xf>
    <xf numFmtId="0" fontId="28" fillId="0" borderId="0" xfId="4495" applyFont="1" applyAlignment="1">
      <alignment vertical="center"/>
    </xf>
    <xf numFmtId="0" fontId="126" fillId="0" borderId="58" xfId="4496" applyFont="1" applyBorder="1" applyAlignment="1">
      <alignment vertical="center"/>
    </xf>
    <xf numFmtId="0" fontId="28" fillId="0" borderId="5" xfId="4495" applyFont="1" applyBorder="1"/>
    <xf numFmtId="182" fontId="102" fillId="0" borderId="6" xfId="4496" applyNumberFormat="1" applyFont="1" applyBorder="1" applyAlignment="1">
      <alignment vertical="center"/>
    </xf>
    <xf numFmtId="1" fontId="102" fillId="0" borderId="0" xfId="4496" applyNumberFormat="1" applyFont="1" applyAlignment="1">
      <alignment horizontal="right" vertical="top" wrapText="1" indent="1"/>
    </xf>
    <xf numFmtId="3" fontId="102" fillId="43" borderId="6" xfId="4496" applyNumberFormat="1" applyFont="1" applyFill="1" applyBorder="1" applyAlignment="1" applyProtection="1">
      <alignment horizontal="center"/>
      <protection locked="0"/>
    </xf>
    <xf numFmtId="0" fontId="5" fillId="0" borderId="0" xfId="8736"/>
    <xf numFmtId="0" fontId="172" fillId="0" borderId="0" xfId="8736" applyFont="1"/>
    <xf numFmtId="0" fontId="107" fillId="0" borderId="0" xfId="8736" applyFont="1"/>
    <xf numFmtId="0" fontId="5" fillId="47" borderId="66" xfId="8736" applyFill="1" applyBorder="1"/>
    <xf numFmtId="0" fontId="5" fillId="47" borderId="0" xfId="8736" applyFill="1"/>
    <xf numFmtId="0" fontId="106" fillId="47" borderId="0" xfId="8736" applyFont="1" applyFill="1"/>
    <xf numFmtId="9" fontId="5" fillId="44" borderId="3" xfId="1022" applyFont="1" applyFill="1" applyBorder="1" applyAlignment="1">
      <alignment horizontal="centerContinuous"/>
    </xf>
    <xf numFmtId="9" fontId="5" fillId="44" borderId="4" xfId="1022" applyFont="1" applyFill="1" applyBorder="1" applyAlignment="1">
      <alignment horizontal="centerContinuous"/>
    </xf>
    <xf numFmtId="9" fontId="5" fillId="44" borderId="5" xfId="1022" applyFont="1" applyFill="1" applyBorder="1" applyAlignment="1">
      <alignment horizontal="centerContinuous"/>
    </xf>
    <xf numFmtId="0" fontId="106" fillId="47" borderId="41" xfId="8736" applyFont="1" applyFill="1" applyBorder="1" applyAlignment="1">
      <alignment horizontal="center"/>
    </xf>
    <xf numFmtId="182" fontId="177" fillId="47" borderId="0" xfId="8737" applyNumberFormat="1" applyFont="1" applyFill="1" applyBorder="1" applyAlignment="1"/>
    <xf numFmtId="0" fontId="5" fillId="47" borderId="41" xfId="8736" applyFill="1" applyBorder="1"/>
    <xf numFmtId="0" fontId="107" fillId="47" borderId="0" xfId="8736" applyFont="1" applyFill="1"/>
    <xf numFmtId="0" fontId="181" fillId="47" borderId="0" xfId="8736" applyFont="1" applyFill="1"/>
    <xf numFmtId="0" fontId="106" fillId="47" borderId="41" xfId="8736" applyFont="1" applyFill="1" applyBorder="1"/>
    <xf numFmtId="0" fontId="106" fillId="0" borderId="0" xfId="8736" applyFont="1"/>
    <xf numFmtId="0" fontId="169" fillId="0" borderId="0" xfId="8736" applyFont="1"/>
    <xf numFmtId="0" fontId="106" fillId="54" borderId="100" xfId="8736" applyFont="1" applyFill="1" applyBorder="1"/>
    <xf numFmtId="0" fontId="5" fillId="53" borderId="99" xfId="8736" applyFill="1" applyBorder="1"/>
    <xf numFmtId="0" fontId="5" fillId="52" borderId="99" xfId="8736" applyFill="1" applyBorder="1"/>
    <xf numFmtId="0" fontId="106" fillId="45" borderId="65" xfId="8736" applyFont="1" applyFill="1" applyBorder="1"/>
    <xf numFmtId="0" fontId="5" fillId="45" borderId="80" xfId="8736" applyFill="1" applyBorder="1"/>
    <xf numFmtId="0" fontId="5" fillId="45" borderId="79" xfId="8736" applyFill="1" applyBorder="1"/>
    <xf numFmtId="0" fontId="5" fillId="45" borderId="78" xfId="8736" applyFill="1" applyBorder="1"/>
    <xf numFmtId="0" fontId="106" fillId="45" borderId="0" xfId="8736" applyFont="1" applyFill="1"/>
    <xf numFmtId="0" fontId="106" fillId="45" borderId="12" xfId="8736" applyFont="1" applyFill="1" applyBorder="1"/>
    <xf numFmtId="0" fontId="106" fillId="45" borderId="29" xfId="8736" applyFont="1" applyFill="1" applyBorder="1"/>
    <xf numFmtId="0" fontId="106" fillId="45" borderId="80" xfId="8736" applyFont="1" applyFill="1" applyBorder="1"/>
    <xf numFmtId="0" fontId="106" fillId="45" borderId="79" xfId="8736" applyFont="1" applyFill="1" applyBorder="1"/>
    <xf numFmtId="0" fontId="106" fillId="45" borderId="78" xfId="8736" applyFont="1" applyFill="1" applyBorder="1"/>
    <xf numFmtId="0" fontId="106" fillId="45" borderId="93" xfId="8736" applyFont="1" applyFill="1" applyBorder="1"/>
    <xf numFmtId="0" fontId="106" fillId="45" borderId="6" xfId="8736" applyFont="1" applyFill="1" applyBorder="1"/>
    <xf numFmtId="0" fontId="106" fillId="45" borderId="10" xfId="8736" applyFont="1" applyFill="1" applyBorder="1"/>
    <xf numFmtId="0" fontId="172" fillId="44" borderId="0" xfId="8736" applyFont="1" applyFill="1"/>
    <xf numFmtId="10" fontId="172" fillId="44" borderId="0" xfId="1022" applyNumberFormat="1" applyFont="1" applyFill="1"/>
    <xf numFmtId="0" fontId="5" fillId="45" borderId="29" xfId="8736" applyFill="1" applyBorder="1"/>
    <xf numFmtId="0" fontId="5" fillId="45" borderId="31" xfId="8736" applyFill="1" applyBorder="1"/>
    <xf numFmtId="0" fontId="106" fillId="45" borderId="92" xfId="8736" applyFont="1" applyFill="1" applyBorder="1"/>
    <xf numFmtId="0" fontId="106" fillId="45" borderId="74" xfId="8736" applyFont="1" applyFill="1" applyBorder="1"/>
    <xf numFmtId="0" fontId="183" fillId="47" borderId="0" xfId="8736" applyFont="1" applyFill="1"/>
    <xf numFmtId="0" fontId="106" fillId="45" borderId="31" xfId="8736" applyFont="1" applyFill="1" applyBorder="1"/>
    <xf numFmtId="0" fontId="5" fillId="47" borderId="0" xfId="8736" applyFill="1" applyAlignment="1">
      <alignment horizontal="left"/>
    </xf>
    <xf numFmtId="0" fontId="175" fillId="51" borderId="11" xfId="8736" applyFont="1" applyFill="1" applyBorder="1"/>
    <xf numFmtId="0" fontId="175" fillId="51" borderId="76" xfId="8736" applyFont="1" applyFill="1" applyBorder="1"/>
    <xf numFmtId="0" fontId="176" fillId="51" borderId="11" xfId="8736" applyFont="1" applyFill="1" applyBorder="1" applyAlignment="1">
      <alignment horizontal="center"/>
    </xf>
    <xf numFmtId="0" fontId="176" fillId="51" borderId="76" xfId="8736" applyFont="1" applyFill="1" applyBorder="1" applyAlignment="1">
      <alignment horizontal="center"/>
    </xf>
    <xf numFmtId="0" fontId="5" fillId="48" borderId="66" xfId="8736" applyFill="1" applyBorder="1"/>
    <xf numFmtId="0" fontId="5" fillId="48" borderId="0" xfId="8736" applyFill="1"/>
    <xf numFmtId="0" fontId="5" fillId="48" borderId="78" xfId="8736" applyFill="1" applyBorder="1"/>
    <xf numFmtId="0" fontId="106" fillId="47" borderId="66" xfId="8736" applyFont="1" applyFill="1" applyBorder="1"/>
    <xf numFmtId="49" fontId="106" fillId="47" borderId="66" xfId="8736" applyNumberFormat="1" applyFont="1" applyFill="1" applyBorder="1" applyAlignment="1">
      <alignment horizontal="right" vertical="top"/>
    </xf>
    <xf numFmtId="0" fontId="5" fillId="47" borderId="73" xfId="8736" applyFill="1" applyBorder="1"/>
    <xf numFmtId="0" fontId="5" fillId="47" borderId="42" xfId="8736" applyFill="1" applyBorder="1"/>
    <xf numFmtId="0" fontId="5" fillId="47" borderId="44" xfId="8736" applyFill="1" applyBorder="1"/>
    <xf numFmtId="0" fontId="5" fillId="44" borderId="66" xfId="8736" applyFill="1" applyBorder="1"/>
    <xf numFmtId="0" fontId="5" fillId="44" borderId="0" xfId="8736" applyFill="1"/>
    <xf numFmtId="0" fontId="5" fillId="44" borderId="41" xfId="8736" applyFill="1" applyBorder="1"/>
    <xf numFmtId="0" fontId="5" fillId="44" borderId="0" xfId="8736" applyFill="1" applyAlignment="1">
      <alignment horizontal="left"/>
    </xf>
    <xf numFmtId="0" fontId="5" fillId="44" borderId="73" xfId="8736" applyFill="1" applyBorder="1"/>
    <xf numFmtId="0" fontId="5" fillId="44" borderId="42" xfId="8736" applyFill="1" applyBorder="1"/>
    <xf numFmtId="0" fontId="5" fillId="44" borderId="44" xfId="8736" applyFill="1" applyBorder="1"/>
    <xf numFmtId="0" fontId="167" fillId="0" borderId="0" xfId="8736" applyFont="1"/>
    <xf numFmtId="0" fontId="5" fillId="0" borderId="0" xfId="8736" applyProtection="1">
      <protection locked="0"/>
    </xf>
    <xf numFmtId="0" fontId="60" fillId="0" borderId="0" xfId="0" applyFont="1" applyAlignment="1" applyProtection="1">
      <alignment vertical="top" wrapText="1"/>
      <protection locked="0"/>
    </xf>
    <xf numFmtId="2" fontId="26" fillId="0" borderId="0" xfId="0" applyNumberFormat="1" applyFont="1"/>
    <xf numFmtId="0" fontId="0" fillId="5" borderId="6" xfId="0" applyFill="1" applyBorder="1" applyAlignment="1" applyProtection="1">
      <alignment horizontal="center"/>
      <protection locked="0"/>
    </xf>
    <xf numFmtId="0" fontId="30" fillId="0" borderId="0" xfId="543" applyFont="1" applyAlignment="1">
      <alignment horizontal="center"/>
    </xf>
    <xf numFmtId="0" fontId="21" fillId="0" borderId="0" xfId="0" applyFont="1" applyAlignment="1">
      <alignment vertical="center" wrapText="1"/>
    </xf>
    <xf numFmtId="0" fontId="0" fillId="0" borderId="0" xfId="0" applyAlignment="1">
      <alignment horizontal="center"/>
    </xf>
    <xf numFmtId="0" fontId="21" fillId="0" borderId="0" xfId="543" applyAlignment="1">
      <alignment wrapText="1"/>
    </xf>
    <xf numFmtId="0" fontId="21" fillId="0" borderId="0" xfId="0" applyFont="1" applyAlignment="1">
      <alignment vertical="top" wrapText="1"/>
    </xf>
    <xf numFmtId="0" fontId="21" fillId="0" borderId="8" xfId="543" applyBorder="1" applyAlignment="1">
      <alignment horizontal="left" vertical="top" wrapText="1"/>
    </xf>
    <xf numFmtId="0" fontId="21" fillId="0" borderId="0" xfId="543" applyAlignment="1">
      <alignment horizontal="left" vertical="top" wrapText="1"/>
    </xf>
    <xf numFmtId="0" fontId="21" fillId="0" borderId="12" xfId="543" applyBorder="1" applyAlignment="1">
      <alignment horizontal="left" vertical="top" wrapText="1"/>
    </xf>
    <xf numFmtId="0" fontId="27" fillId="3" borderId="0" xfId="0" applyFont="1" applyFill="1" applyAlignment="1">
      <alignment horizontal="center" vertical="center"/>
    </xf>
    <xf numFmtId="0" fontId="29" fillId="0" borderId="3" xfId="543" applyFont="1" applyBorder="1" applyAlignment="1">
      <alignment horizontal="center"/>
    </xf>
    <xf numFmtId="0" fontId="29" fillId="0" borderId="5" xfId="543" applyFont="1" applyBorder="1" applyAlignment="1">
      <alignment horizontal="center"/>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0" fillId="0" borderId="11" xfId="0" applyNumberFormat="1" applyBorder="1" applyAlignment="1">
      <alignment horizontal="right"/>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21" fillId="5" borderId="3" xfId="0" applyNumberFormat="1"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68" fontId="21" fillId="5" borderId="5" xfId="0" applyNumberFormat="1" applyFon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7" fillId="5" borderId="3" xfId="0" applyFont="1" applyFill="1" applyBorder="1" applyAlignment="1" applyProtection="1">
      <alignment horizontal="right"/>
      <protection locked="0"/>
    </xf>
    <xf numFmtId="0" fontId="57" fillId="5" borderId="4" xfId="0" applyFont="1" applyFill="1" applyBorder="1" applyAlignment="1" applyProtection="1">
      <alignment horizontal="right"/>
      <protection locked="0"/>
    </xf>
    <xf numFmtId="0" fontId="57" fillId="5" borderId="5" xfId="0" applyFont="1" applyFill="1" applyBorder="1" applyAlignment="1" applyProtection="1">
      <alignment horizontal="right"/>
      <protection locked="0"/>
    </xf>
    <xf numFmtId="182" fontId="29"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40" fillId="0" borderId="3" xfId="543" applyFont="1" applyBorder="1" applyAlignment="1">
      <alignment horizontal="center"/>
    </xf>
    <xf numFmtId="0" fontId="40" fillId="0" borderId="5" xfId="543" applyFont="1" applyBorder="1" applyAlignment="1">
      <alignment horizontal="center"/>
    </xf>
    <xf numFmtId="0" fontId="28" fillId="0" borderId="8" xfId="543" applyFont="1" applyBorder="1" applyAlignment="1">
      <alignment horizontal="left" vertical="center" wrapText="1"/>
    </xf>
    <xf numFmtId="0" fontId="28" fillId="0" borderId="0" xfId="543" applyFont="1" applyAlignment="1">
      <alignment horizontal="left" vertical="center" wrapText="1"/>
    </xf>
    <xf numFmtId="0" fontId="28" fillId="0" borderId="12" xfId="543" applyFont="1" applyBorder="1" applyAlignment="1">
      <alignment horizontal="left" vertical="center" wrapText="1"/>
    </xf>
    <xf numFmtId="0" fontId="40" fillId="5" borderId="3" xfId="543" applyFont="1" applyFill="1" applyBorder="1" applyAlignment="1" applyProtection="1">
      <alignment horizontal="center"/>
      <protection locked="0"/>
    </xf>
    <xf numFmtId="0" fontId="40" fillId="5" borderId="5" xfId="543" applyFont="1" applyFill="1" applyBorder="1" applyAlignment="1" applyProtection="1">
      <alignment horizontal="center"/>
      <protection locked="0"/>
    </xf>
    <xf numFmtId="0" fontId="41" fillId="0" borderId="4" xfId="543" applyFont="1" applyBorder="1" applyAlignment="1">
      <alignment horizontal="right" vertical="top" wrapText="1"/>
    </xf>
    <xf numFmtId="0" fontId="41" fillId="0" borderId="5" xfId="543" applyFont="1" applyBorder="1" applyAlignment="1">
      <alignment horizontal="right" vertical="top" wrapText="1"/>
    </xf>
    <xf numFmtId="1" fontId="30" fillId="5" borderId="3" xfId="0" applyNumberFormat="1" applyFont="1" applyFill="1" applyBorder="1" applyAlignment="1" applyProtection="1">
      <alignment horizontal="center"/>
      <protection locked="0"/>
    </xf>
    <xf numFmtId="1" fontId="30" fillId="5" borderId="4" xfId="0" applyNumberFormat="1" applyFont="1" applyFill="1" applyBorder="1" applyAlignment="1" applyProtection="1">
      <alignment horizontal="center"/>
      <protection locked="0"/>
    </xf>
    <xf numFmtId="1" fontId="30" fillId="5" borderId="5" xfId="0" applyNumberFormat="1" applyFont="1" applyFill="1" applyBorder="1" applyAlignment="1" applyProtection="1">
      <alignment horizontal="center"/>
      <protection locked="0"/>
    </xf>
    <xf numFmtId="0" fontId="30" fillId="5" borderId="3" xfId="0" applyFont="1" applyFill="1" applyBorder="1" applyAlignment="1" applyProtection="1">
      <alignment horizontal="center"/>
      <protection locked="0"/>
    </xf>
    <xf numFmtId="0" fontId="30" fillId="5" borderId="4" xfId="0" applyFont="1" applyFill="1" applyBorder="1" applyAlignment="1" applyProtection="1">
      <alignment horizontal="center"/>
      <protection locked="0"/>
    </xf>
    <xf numFmtId="0" fontId="30" fillId="5" borderId="5" xfId="0" applyFont="1" applyFill="1" applyBorder="1" applyAlignment="1" applyProtection="1">
      <alignment horizontal="center"/>
      <protection locked="0"/>
    </xf>
    <xf numFmtId="164" fontId="40" fillId="5" borderId="3" xfId="0" applyNumberFormat="1" applyFont="1" applyFill="1" applyBorder="1" applyAlignment="1" applyProtection="1">
      <alignment horizontal="left"/>
      <protection locked="0"/>
    </xf>
    <xf numFmtId="164" fontId="40" fillId="5" borderId="4" xfId="0" applyNumberFormat="1" applyFont="1" applyFill="1" applyBorder="1" applyAlignment="1" applyProtection="1">
      <alignment horizontal="left"/>
      <protection locked="0"/>
    </xf>
    <xf numFmtId="164" fontId="40" fillId="5" borderId="5" xfId="0" applyNumberFormat="1" applyFont="1" applyFill="1" applyBorder="1" applyAlignment="1" applyProtection="1">
      <alignment horizontal="left"/>
      <protection locked="0"/>
    </xf>
    <xf numFmtId="0" fontId="21" fillId="0" borderId="0" xfId="0" applyFont="1" applyAlignment="1">
      <alignment horizontal="left" wrapText="1"/>
    </xf>
    <xf numFmtId="0" fontId="21" fillId="0" borderId="3" xfId="0" applyFont="1" applyBorder="1"/>
    <xf numFmtId="0" fontId="21" fillId="0" borderId="4" xfId="0" applyFont="1" applyBorder="1"/>
    <xf numFmtId="0" fontId="21" fillId="0" borderId="5" xfId="0" applyFont="1" applyBorder="1"/>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30" fillId="5" borderId="11" xfId="0" applyNumberFormat="1" applyFont="1" applyFill="1" applyBorder="1" applyAlignment="1" applyProtection="1">
      <alignment horizontal="center"/>
      <protection locked="0"/>
    </xf>
    <xf numFmtId="0" fontId="30" fillId="0" borderId="11" xfId="0" applyFont="1" applyBorder="1" applyAlignment="1">
      <alignment horizontal="center" vertical="top" wrapText="1"/>
    </xf>
    <xf numFmtId="0" fontId="28" fillId="0" borderId="0" xfId="0" applyFont="1" applyAlignment="1">
      <alignment horizontal="center"/>
    </xf>
    <xf numFmtId="0" fontId="162" fillId="0" borderId="8" xfId="543" applyFont="1" applyBorder="1" applyAlignment="1">
      <alignment horizontal="center" wrapText="1"/>
    </xf>
    <xf numFmtId="0" fontId="162" fillId="0" borderId="0" xfId="543" applyFont="1" applyAlignment="1">
      <alignment horizontal="center" wrapText="1"/>
    </xf>
    <xf numFmtId="0" fontId="162" fillId="0" borderId="12" xfId="543" applyFont="1" applyBorder="1" applyAlignment="1">
      <alignment horizontal="center" wrapText="1"/>
    </xf>
    <xf numFmtId="0" fontId="162" fillId="0" borderId="9" xfId="543" applyFont="1" applyBorder="1" applyAlignment="1">
      <alignment horizontal="center" wrapText="1"/>
    </xf>
    <xf numFmtId="0" fontId="162" fillId="0" borderId="6" xfId="543" applyFont="1" applyBorder="1" applyAlignment="1">
      <alignment horizontal="center" wrapText="1"/>
    </xf>
    <xf numFmtId="0" fontId="162" fillId="0" borderId="10" xfId="543" applyFont="1" applyBorder="1" applyAlignment="1">
      <alignment horizontal="center" wrapText="1"/>
    </xf>
    <xf numFmtId="0" fontId="162" fillId="0" borderId="8" xfId="543" applyFont="1" applyBorder="1" applyAlignment="1">
      <alignment horizontal="center" vertical="top" wrapText="1"/>
    </xf>
    <xf numFmtId="0" fontId="162" fillId="0" borderId="0" xfId="543" applyFont="1" applyAlignment="1">
      <alignment horizontal="center" vertical="top" wrapText="1"/>
    </xf>
    <xf numFmtId="0" fontId="162" fillId="0" borderId="12" xfId="543" applyFont="1" applyBorder="1" applyAlignment="1">
      <alignment horizontal="center" vertical="top" wrapText="1"/>
    </xf>
    <xf numFmtId="0" fontId="162" fillId="0" borderId="9" xfId="543" applyFont="1" applyBorder="1" applyAlignment="1">
      <alignment horizontal="center" vertical="top" wrapText="1"/>
    </xf>
    <xf numFmtId="0" fontId="162" fillId="0" borderId="6" xfId="543" applyFont="1" applyBorder="1" applyAlignment="1">
      <alignment horizontal="center" vertical="top" wrapText="1"/>
    </xf>
    <xf numFmtId="0" fontId="162" fillId="0" borderId="10" xfId="543" applyFont="1"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42" fillId="0" borderId="3" xfId="543" applyFont="1" applyBorder="1" applyAlignment="1">
      <alignment horizontal="center"/>
    </xf>
    <xf numFmtId="0" fontId="42" fillId="0" borderId="4" xfId="543" applyFont="1" applyBorder="1" applyAlignment="1">
      <alignment horizontal="center"/>
    </xf>
    <xf numFmtId="0" fontId="42" fillId="0" borderId="5" xfId="543" applyFont="1" applyBorder="1" applyAlignment="1">
      <alignment horizontal="center"/>
    </xf>
    <xf numFmtId="168" fontId="21" fillId="0" borderId="1" xfId="543" applyNumberFormat="1" applyBorder="1" applyAlignment="1">
      <alignment horizontal="center" vertical="center"/>
    </xf>
    <xf numFmtId="168" fontId="21" fillId="0" borderId="2" xfId="543" applyNumberFormat="1" applyBorder="1" applyAlignment="1">
      <alignment horizontal="center" vertical="center"/>
    </xf>
    <xf numFmtId="168" fontId="21" fillId="0" borderId="7" xfId="543" applyNumberFormat="1" applyBorder="1" applyAlignment="1">
      <alignment horizontal="center" vertical="center"/>
    </xf>
    <xf numFmtId="168" fontId="21" fillId="0" borderId="8" xfId="543" applyNumberFormat="1" applyBorder="1" applyAlignment="1">
      <alignment horizontal="center" vertical="center"/>
    </xf>
    <xf numFmtId="168" fontId="21" fillId="0" borderId="0" xfId="543" applyNumberFormat="1" applyAlignment="1">
      <alignment horizontal="center" vertical="center"/>
    </xf>
    <xf numFmtId="168" fontId="21" fillId="0" borderId="12" xfId="543" applyNumberFormat="1" applyBorder="1" applyAlignment="1">
      <alignment horizontal="center" vertical="center"/>
    </xf>
    <xf numFmtId="168" fontId="21" fillId="0" borderId="9" xfId="543" applyNumberFormat="1" applyBorder="1" applyAlignment="1">
      <alignment horizontal="center" vertical="center"/>
    </xf>
    <xf numFmtId="168" fontId="21" fillId="0" borderId="6" xfId="543" applyNumberFormat="1" applyBorder="1" applyAlignment="1">
      <alignment horizontal="center" vertical="center"/>
    </xf>
    <xf numFmtId="168" fontId="21" fillId="0" borderId="10" xfId="543" applyNumberFormat="1" applyBorder="1" applyAlignment="1">
      <alignment horizontal="center" vertical="center"/>
    </xf>
    <xf numFmtId="0" fontId="21" fillId="0" borderId="9" xfId="543" applyBorder="1" applyAlignment="1">
      <alignment horizontal="left" vertical="top" wrapText="1"/>
    </xf>
    <xf numFmtId="0" fontId="21" fillId="0" borderId="6" xfId="543" applyBorder="1" applyAlignment="1">
      <alignment horizontal="left" vertical="top" wrapText="1"/>
    </xf>
    <xf numFmtId="0" fontId="21" fillId="0" borderId="10" xfId="543" applyBorder="1" applyAlignment="1">
      <alignment horizontal="left" vertical="top" wrapText="1"/>
    </xf>
    <xf numFmtId="168" fontId="21" fillId="0" borderId="11" xfId="543" applyNumberFormat="1" applyBorder="1" applyAlignment="1">
      <alignment horizontal="center"/>
    </xf>
    <xf numFmtId="0" fontId="21" fillId="0" borderId="3" xfId="543" applyBorder="1" applyAlignment="1">
      <alignment horizontal="center"/>
    </xf>
    <xf numFmtId="0" fontId="21" fillId="0" borderId="4" xfId="543" applyBorder="1" applyAlignment="1">
      <alignment horizontal="center"/>
    </xf>
    <xf numFmtId="0" fontId="21" fillId="0" borderId="5" xfId="543" applyBorder="1" applyAlignment="1">
      <alignment horizontal="center"/>
    </xf>
    <xf numFmtId="1" fontId="29" fillId="0" borderId="3" xfId="543" applyNumberFormat="1" applyFont="1" applyBorder="1" applyAlignment="1">
      <alignment horizontal="center"/>
    </xf>
    <xf numFmtId="1" fontId="29" fillId="0" borderId="5" xfId="543" applyNumberFormat="1" applyFont="1" applyBorder="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30" fillId="5" borderId="4" xfId="0" applyFont="1" applyFill="1" applyBorder="1" applyAlignment="1" applyProtection="1">
      <alignment horizontal="left"/>
      <protection locked="0"/>
    </xf>
    <xf numFmtId="168" fontId="30" fillId="0" borderId="3" xfId="0" applyNumberFormat="1" applyFont="1" applyBorder="1" applyAlignment="1">
      <alignment horizontal="center"/>
    </xf>
    <xf numFmtId="168" fontId="30" fillId="0" borderId="4" xfId="0" applyNumberFormat="1" applyFont="1" applyBorder="1" applyAlignment="1">
      <alignment horizontal="center"/>
    </xf>
    <xf numFmtId="168" fontId="30" fillId="0" borderId="5" xfId="0" applyNumberFormat="1" applyFont="1" applyBorder="1" applyAlignment="1">
      <alignment horizontal="center"/>
    </xf>
    <xf numFmtId="168" fontId="30" fillId="5" borderId="3" xfId="0" applyNumberFormat="1" applyFont="1" applyFill="1" applyBorder="1" applyAlignment="1" applyProtection="1">
      <alignment horizontal="center"/>
      <protection locked="0"/>
    </xf>
    <xf numFmtId="168" fontId="30" fillId="5" borderId="4" xfId="0" applyNumberFormat="1" applyFont="1" applyFill="1" applyBorder="1" applyAlignment="1" applyProtection="1">
      <alignment horizontal="center"/>
      <protection locked="0"/>
    </xf>
    <xf numFmtId="168" fontId="30" fillId="5" borderId="5" xfId="0" applyNumberFormat="1" applyFont="1" applyFill="1" applyBorder="1" applyAlignment="1" applyProtection="1">
      <alignment horizontal="center"/>
      <protection locked="0"/>
    </xf>
    <xf numFmtId="0" fontId="0" fillId="0" borderId="6" xfId="0" applyBorder="1" applyAlignment="1">
      <alignment horizontal="left"/>
    </xf>
    <xf numFmtId="0" fontId="0" fillId="5" borderId="6" xfId="0" applyFill="1" applyBorder="1" applyAlignment="1" applyProtection="1">
      <alignment horizontal="left"/>
      <protection locked="0"/>
    </xf>
    <xf numFmtId="165" fontId="30" fillId="0" borderId="1" xfId="0" applyNumberFormat="1" applyFont="1" applyBorder="1" applyAlignment="1">
      <alignment horizontal="right"/>
    </xf>
    <xf numFmtId="165" fontId="30" fillId="0" borderId="2" xfId="0" applyNumberFormat="1" applyFont="1" applyBorder="1" applyAlignment="1">
      <alignment horizontal="right"/>
    </xf>
    <xf numFmtId="165" fontId="30" fillId="0" borderId="7" xfId="0" applyNumberFormat="1" applyFont="1" applyBorder="1" applyAlignment="1">
      <alignment horizontal="right"/>
    </xf>
    <xf numFmtId="0" fontId="28" fillId="0" borderId="1" xfId="0" applyFont="1" applyBorder="1" applyAlignment="1">
      <alignment horizontal="center" wrapText="1"/>
    </xf>
    <xf numFmtId="0" fontId="28" fillId="0" borderId="2" xfId="0" applyFont="1" applyBorder="1" applyAlignment="1">
      <alignment horizontal="center" wrapText="1"/>
    </xf>
    <xf numFmtId="0" fontId="28" fillId="0" borderId="8" xfId="0" applyFont="1" applyBorder="1" applyAlignment="1">
      <alignment horizontal="center" wrapText="1"/>
    </xf>
    <xf numFmtId="0" fontId="28" fillId="0" borderId="0" xfId="0" applyFont="1" applyAlignment="1">
      <alignment horizontal="center" wrapText="1"/>
    </xf>
    <xf numFmtId="0" fontId="28" fillId="0" borderId="9" xfId="0" applyFont="1" applyBorder="1" applyAlignment="1">
      <alignment horizontal="center" wrapText="1"/>
    </xf>
    <xf numFmtId="0" fontId="28" fillId="0" borderId="6" xfId="0" applyFont="1" applyBorder="1" applyAlignment="1">
      <alignment horizontal="center" wrapText="1"/>
    </xf>
    <xf numFmtId="168" fontId="0" fillId="5" borderId="11" xfId="0" applyNumberFormat="1" applyFill="1" applyBorder="1" applyAlignment="1" applyProtection="1">
      <alignment horizontal="center"/>
      <protection locked="0"/>
    </xf>
    <xf numFmtId="0" fontId="28" fillId="0" borderId="3" xfId="0" applyFont="1" applyBorder="1" applyAlignment="1">
      <alignment horizontal="right"/>
    </xf>
    <xf numFmtId="0" fontId="28" fillId="0" borderId="4" xfId="0" applyFont="1" applyBorder="1" applyAlignment="1">
      <alignment horizontal="right"/>
    </xf>
    <xf numFmtId="0" fontId="28" fillId="0" borderId="5" xfId="0" applyFont="1" applyBorder="1" applyAlignment="1">
      <alignment horizontal="right"/>
    </xf>
    <xf numFmtId="0" fontId="27" fillId="3" borderId="0" xfId="0" applyFont="1" applyFill="1" applyAlignment="1">
      <alignment horizontal="center" vertical="center" wrapText="1"/>
    </xf>
    <xf numFmtId="0" fontId="30" fillId="0" borderId="0" xfId="0" applyFont="1" applyAlignment="1">
      <alignment horizontal="left" vertical="top" wrapText="1"/>
    </xf>
    <xf numFmtId="0" fontId="21" fillId="0" borderId="0" xfId="0" applyFont="1" applyAlignment="1">
      <alignment wrapText="1"/>
    </xf>
    <xf numFmtId="166" fontId="30" fillId="5" borderId="6" xfId="0" applyNumberFormat="1" applyFont="1" applyFill="1" applyBorder="1" applyAlignment="1" applyProtection="1">
      <alignment horizontal="left"/>
      <protection locked="0"/>
    </xf>
    <xf numFmtId="0" fontId="21" fillId="5" borderId="11" xfId="0" applyFont="1" applyFill="1" applyBorder="1" applyAlignment="1" applyProtection="1">
      <alignment vertical="center" wrapText="1"/>
      <protection locked="0"/>
    </xf>
    <xf numFmtId="0" fontId="21" fillId="5" borderId="11" xfId="0" applyFont="1" applyFill="1" applyBorder="1" applyAlignment="1" applyProtection="1">
      <alignment horizontal="left" vertical="center" wrapText="1"/>
      <protection locked="0"/>
    </xf>
    <xf numFmtId="175" fontId="21" fillId="43" borderId="3" xfId="0" applyNumberFormat="1" applyFont="1" applyFill="1" applyBorder="1" applyAlignment="1" applyProtection="1">
      <alignment horizontal="center" vertical="center"/>
      <protection locked="0"/>
    </xf>
    <xf numFmtId="175" fontId="21" fillId="43" borderId="4" xfId="0" applyNumberFormat="1" applyFont="1" applyFill="1" applyBorder="1" applyAlignment="1" applyProtection="1">
      <alignment horizontal="center" vertical="center"/>
      <protection locked="0"/>
    </xf>
    <xf numFmtId="175" fontId="21" fillId="43" borderId="5" xfId="0" applyNumberFormat="1" applyFont="1" applyFill="1" applyBorder="1" applyAlignment="1" applyProtection="1">
      <alignment horizontal="center" vertical="center"/>
      <protection locked="0"/>
    </xf>
    <xf numFmtId="180" fontId="29" fillId="43" borderId="3" xfId="0" applyNumberFormat="1" applyFont="1" applyFill="1" applyBorder="1" applyAlignment="1" applyProtection="1">
      <alignment horizontal="center" vertical="center"/>
      <protection locked="0"/>
    </xf>
    <xf numFmtId="180" fontId="29" fillId="43" borderId="4" xfId="0" applyNumberFormat="1" applyFont="1" applyFill="1" applyBorder="1" applyAlignment="1" applyProtection="1">
      <alignment horizontal="center" vertical="center"/>
      <protection locked="0"/>
    </xf>
    <xf numFmtId="180" fontId="29" fillId="43" borderId="5" xfId="0" applyNumberFormat="1" applyFont="1" applyFill="1" applyBorder="1" applyAlignment="1" applyProtection="1">
      <alignment horizontal="center" vertical="center"/>
      <protection locked="0"/>
    </xf>
    <xf numFmtId="0" fontId="30"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6" fontId="30" fillId="5" borderId="4"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21" fillId="43" borderId="3" xfId="0" applyNumberFormat="1" applyFont="1" applyFill="1" applyBorder="1" applyAlignment="1" applyProtection="1">
      <alignment horizontal="center"/>
      <protection locked="0"/>
    </xf>
    <xf numFmtId="175" fontId="21" fillId="43" borderId="4" xfId="0" applyNumberFormat="1" applyFont="1" applyFill="1" applyBorder="1" applyAlignment="1" applyProtection="1">
      <alignment horizontal="center"/>
      <protection locked="0"/>
    </xf>
    <xf numFmtId="175" fontId="21" fillId="43" borderId="5" xfId="0" applyNumberFormat="1" applyFont="1" applyFill="1" applyBorder="1" applyAlignment="1" applyProtection="1">
      <alignment horizontal="center"/>
      <protection locked="0"/>
    </xf>
    <xf numFmtId="168" fontId="21" fillId="43" borderId="3" xfId="0" applyNumberFormat="1" applyFont="1" applyFill="1" applyBorder="1" applyAlignment="1" applyProtection="1">
      <alignment horizontal="center" vertical="center"/>
      <protection locked="0"/>
    </xf>
    <xf numFmtId="168" fontId="21" fillId="43" borderId="4" xfId="0" applyNumberFormat="1" applyFont="1" applyFill="1" applyBorder="1" applyAlignment="1" applyProtection="1">
      <alignment horizontal="center" vertical="center"/>
      <protection locked="0"/>
    </xf>
    <xf numFmtId="168" fontId="21" fillId="43" borderId="5" xfId="0" applyNumberFormat="1" applyFont="1" applyFill="1" applyBorder="1" applyAlignment="1" applyProtection="1">
      <alignment horizontal="center" vertic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54" fillId="0" borderId="0" xfId="0" applyFont="1" applyAlignment="1">
      <alignment horizontal="center"/>
    </xf>
    <xf numFmtId="0" fontId="21" fillId="0" borderId="0" xfId="0" applyFont="1" applyAlignment="1">
      <alignment horizontal="center"/>
    </xf>
    <xf numFmtId="0" fontId="36" fillId="0" borderId="0" xfId="0" applyFont="1" applyAlignment="1">
      <alignment horizontal="center"/>
    </xf>
    <xf numFmtId="0" fontId="21" fillId="0" borderId="0" xfId="0" applyFont="1" applyAlignment="1">
      <alignment horizontal="center" vertical="top"/>
    </xf>
    <xf numFmtId="0" fontId="21" fillId="0" borderId="0" xfId="0" applyFont="1" applyAlignment="1">
      <alignment horizontal="left" vertical="top" wrapText="1"/>
    </xf>
    <xf numFmtId="0" fontId="21" fillId="5" borderId="6" xfId="0" applyFont="1" applyFill="1" applyBorder="1" applyAlignment="1" applyProtection="1">
      <alignment horizontal="left"/>
      <protection locked="0"/>
    </xf>
    <xf numFmtId="168" fontId="30" fillId="0" borderId="6" xfId="0" applyNumberFormat="1" applyFont="1" applyBorder="1" applyAlignment="1">
      <alignment horizontal="center"/>
    </xf>
    <xf numFmtId="0" fontId="21" fillId="5" borderId="6" xfId="0" applyFont="1" applyFill="1" applyBorder="1" applyAlignment="1" applyProtection="1">
      <alignment horizontal="left" wrapText="1"/>
      <protection locked="0"/>
    </xf>
    <xf numFmtId="0" fontId="30" fillId="5" borderId="6" xfId="0" applyFont="1" applyFill="1" applyBorder="1" applyAlignment="1" applyProtection="1">
      <alignment horizontal="left" wrapText="1"/>
      <protection locked="0"/>
    </xf>
    <xf numFmtId="0" fontId="29" fillId="0" borderId="0" xfId="0" applyFont="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8" fillId="0" borderId="11" xfId="0" applyFont="1" applyBorder="1" applyAlignment="1">
      <alignment horizontal="center" vertic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8" fillId="0" borderId="11" xfId="0" applyFont="1" applyBorder="1" applyAlignment="1">
      <alignment horizontal="center" vertical="center" wrapText="1"/>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0" fontId="29" fillId="5" borderId="3" xfId="0" applyFont="1" applyFill="1" applyBorder="1" applyAlignment="1" applyProtection="1">
      <alignment horizontal="center"/>
      <protection locked="0"/>
    </xf>
    <xf numFmtId="0" fontId="29" fillId="5" borderId="4" xfId="0" applyFont="1" applyFill="1" applyBorder="1" applyAlignment="1" applyProtection="1">
      <alignment horizontal="center"/>
      <protection locked="0"/>
    </xf>
    <xf numFmtId="0" fontId="29" fillId="5" borderId="5" xfId="0" applyFont="1" applyFill="1" applyBorder="1" applyAlignment="1" applyProtection="1">
      <alignment horizontal="center"/>
      <protection locked="0"/>
    </xf>
    <xf numFmtId="1" fontId="30" fillId="5" borderId="3" xfId="0" applyNumberFormat="1" applyFont="1" applyFill="1" applyBorder="1" applyAlignment="1" applyProtection="1">
      <alignment horizontal="right" vertical="top"/>
      <protection locked="0"/>
    </xf>
    <xf numFmtId="1" fontId="30" fillId="5" borderId="4" xfId="0" applyNumberFormat="1" applyFont="1" applyFill="1" applyBorder="1" applyAlignment="1" applyProtection="1">
      <alignment horizontal="right" vertical="top"/>
      <protection locked="0"/>
    </xf>
    <xf numFmtId="1" fontId="30" fillId="5" borderId="5" xfId="0" applyNumberFormat="1" applyFont="1" applyFill="1" applyBorder="1" applyAlignment="1" applyProtection="1">
      <alignment horizontal="right" vertical="top"/>
      <protection locked="0"/>
    </xf>
    <xf numFmtId="0" fontId="30" fillId="5" borderId="9" xfId="0" applyFont="1" applyFill="1" applyBorder="1" applyAlignment="1" applyProtection="1">
      <alignment horizontal="center"/>
      <protection locked="0"/>
    </xf>
    <xf numFmtId="0" fontId="30" fillId="5" borderId="6" xfId="0" applyFont="1" applyFill="1" applyBorder="1" applyAlignment="1" applyProtection="1">
      <alignment horizontal="center"/>
      <protection locked="0"/>
    </xf>
    <xf numFmtId="0" fontId="0" fillId="0" borderId="11" xfId="0" applyBorder="1" applyAlignment="1">
      <alignment horizontal="center"/>
    </xf>
    <xf numFmtId="168" fontId="30" fillId="5" borderId="3" xfId="0" applyNumberFormat="1" applyFont="1" applyFill="1" applyBorder="1" applyAlignment="1" applyProtection="1">
      <alignment horizontal="left" vertical="top"/>
      <protection locked="0"/>
    </xf>
    <xf numFmtId="168" fontId="30" fillId="5" borderId="4" xfId="0" applyNumberFormat="1" applyFont="1" applyFill="1" applyBorder="1" applyAlignment="1" applyProtection="1">
      <alignment horizontal="left" vertical="top"/>
      <protection locked="0"/>
    </xf>
    <xf numFmtId="168" fontId="30" fillId="5" borderId="5" xfId="0" applyNumberFormat="1" applyFont="1" applyFill="1" applyBorder="1" applyAlignment="1" applyProtection="1">
      <alignment horizontal="left" vertical="top"/>
      <protection locked="0"/>
    </xf>
    <xf numFmtId="0" fontId="30" fillId="5" borderId="4" xfId="0" applyFont="1" applyFill="1" applyBorder="1" applyAlignment="1" applyProtection="1">
      <alignment wrapText="1"/>
      <protection locked="0"/>
    </xf>
    <xf numFmtId="0" fontId="21" fillId="5" borderId="11" xfId="0" applyFont="1" applyFill="1" applyBorder="1" applyAlignment="1" applyProtection="1">
      <alignment horizontal="lef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30" fillId="0" borderId="3" xfId="0" applyFont="1" applyBorder="1" applyAlignment="1">
      <alignment horizontal="center"/>
    </xf>
    <xf numFmtId="0" fontId="30" fillId="0" borderId="4" xfId="0" applyFont="1" applyBorder="1" applyAlignment="1">
      <alignment horizontal="center"/>
    </xf>
    <xf numFmtId="0" fontId="30" fillId="0" borderId="5" xfId="0" applyFont="1" applyBorder="1" applyAlignment="1">
      <alignment horizontal="center"/>
    </xf>
    <xf numFmtId="0" fontId="30" fillId="45" borderId="3" xfId="0" applyFont="1" applyFill="1" applyBorder="1" applyAlignment="1">
      <alignment horizontal="center"/>
    </xf>
    <xf numFmtId="0" fontId="30" fillId="45" borderId="4" xfId="0" applyFont="1" applyFill="1" applyBorder="1" applyAlignment="1">
      <alignment horizontal="center"/>
    </xf>
    <xf numFmtId="0" fontId="30" fillId="45" borderId="5" xfId="0" applyFont="1" applyFill="1" applyBorder="1" applyAlignment="1">
      <alignment horizontal="center"/>
    </xf>
    <xf numFmtId="0" fontId="30" fillId="45" borderId="11" xfId="0" applyFont="1" applyFill="1" applyBorder="1" applyAlignment="1">
      <alignment horizontal="center"/>
    </xf>
    <xf numFmtId="0" fontId="30" fillId="2" borderId="11" xfId="0" applyFont="1" applyFill="1" applyBorder="1" applyAlignment="1">
      <alignment horizontal="center"/>
    </xf>
    <xf numFmtId="0" fontId="21" fillId="0" borderId="11"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21" fillId="0" borderId="11" xfId="543"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8" fillId="0" borderId="12" xfId="0" applyFont="1" applyBorder="1" applyAlignment="1">
      <alignment horizontal="center" wrapText="1"/>
    </xf>
    <xf numFmtId="0" fontId="28"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21" fillId="0" borderId="9" xfId="543" applyBorder="1" applyAlignment="1">
      <alignment horizontal="left" vertical="center" wrapText="1"/>
    </xf>
    <xf numFmtId="0" fontId="21" fillId="0" borderId="6" xfId="543" applyBorder="1" applyAlignment="1">
      <alignment horizontal="left" vertical="center" wrapText="1"/>
    </xf>
    <xf numFmtId="0" fontId="21" fillId="0" borderId="10" xfId="543" applyBorder="1" applyAlignment="1">
      <alignment horizontal="left" vertical="center" wrapText="1"/>
    </xf>
    <xf numFmtId="1" fontId="21" fillId="0" borderId="3" xfId="543" applyNumberFormat="1" applyBorder="1" applyAlignment="1">
      <alignment horizontal="center"/>
    </xf>
    <xf numFmtId="1" fontId="21" fillId="0" borderId="4" xfId="543" applyNumberFormat="1" applyBorder="1" applyAlignment="1">
      <alignment horizontal="center"/>
    </xf>
    <xf numFmtId="1" fontId="21" fillId="0" borderId="5" xfId="543" applyNumberForma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8" fillId="0" borderId="6" xfId="0" applyFont="1" applyBorder="1" applyAlignment="1">
      <alignment horizontal="center"/>
    </xf>
    <xf numFmtId="0" fontId="0" fillId="0" borderId="9" xfId="0" applyBorder="1" applyAlignment="1">
      <alignment horizontal="left"/>
    </xf>
    <xf numFmtId="0" fontId="28" fillId="0" borderId="1" xfId="543" applyFont="1" applyBorder="1" applyAlignment="1">
      <alignment horizontal="left" vertical="center" wrapText="1"/>
    </xf>
    <xf numFmtId="0" fontId="28" fillId="0" borderId="2" xfId="543" applyFont="1" applyBorder="1" applyAlignment="1">
      <alignment horizontal="left" vertical="center" wrapText="1"/>
    </xf>
    <xf numFmtId="0" fontId="28" fillId="0" borderId="7" xfId="543" applyFont="1" applyBorder="1" applyAlignment="1">
      <alignment horizontal="left" vertical="center" wrapText="1"/>
    </xf>
    <xf numFmtId="0" fontId="21" fillId="5" borderId="3" xfId="543" applyFill="1" applyBorder="1" applyAlignment="1" applyProtection="1">
      <alignment horizontal="left" vertical="top" wrapText="1"/>
      <protection locked="0"/>
    </xf>
    <xf numFmtId="0" fontId="30" fillId="5" borderId="4" xfId="543" applyFont="1" applyFill="1" applyBorder="1" applyAlignment="1" applyProtection="1">
      <alignment horizontal="left" vertical="top" wrapText="1"/>
      <protection locked="0"/>
    </xf>
    <xf numFmtId="0" fontId="30" fillId="5" borderId="5" xfId="543" applyFont="1" applyFill="1" applyBorder="1" applyAlignment="1" applyProtection="1">
      <alignment horizontal="left" vertical="top" wrapText="1"/>
      <protection locked="0"/>
    </xf>
    <xf numFmtId="0" fontId="28" fillId="0" borderId="3" xfId="543" applyFont="1" applyBorder="1" applyAlignment="1">
      <alignment horizontal="right"/>
    </xf>
    <xf numFmtId="0" fontId="28" fillId="0" borderId="4" xfId="543" applyFont="1" applyBorder="1" applyAlignment="1">
      <alignment horizontal="right"/>
    </xf>
    <xf numFmtId="0" fontId="28" fillId="0" borderId="5" xfId="543" applyFont="1" applyBorder="1" applyAlignment="1">
      <alignment horizontal="right"/>
    </xf>
    <xf numFmtId="0" fontId="21" fillId="2" borderId="3" xfId="543" applyFill="1" applyBorder="1" applyAlignment="1">
      <alignment horizontal="center"/>
    </xf>
    <xf numFmtId="0" fontId="21" fillId="2" borderId="4" xfId="543" applyFill="1" applyBorder="1" applyAlignment="1">
      <alignment horizontal="center"/>
    </xf>
    <xf numFmtId="0" fontId="21" fillId="2" borderId="5" xfId="543" applyFill="1" applyBorder="1" applyAlignment="1">
      <alignment horizontal="center"/>
    </xf>
    <xf numFmtId="168" fontId="21" fillId="10" borderId="3" xfId="543" applyNumberFormat="1" applyFill="1" applyBorder="1" applyAlignment="1">
      <alignment horizontal="center"/>
    </xf>
    <xf numFmtId="168" fontId="21" fillId="10" borderId="4" xfId="543" applyNumberFormat="1" applyFill="1" applyBorder="1" applyAlignment="1">
      <alignment horizontal="center"/>
    </xf>
    <xf numFmtId="168" fontId="21" fillId="10" borderId="5" xfId="543" applyNumberFormat="1" applyFill="1" applyBorder="1" applyAlignment="1">
      <alignment horizontal="center"/>
    </xf>
    <xf numFmtId="0" fontId="48" fillId="0" borderId="8" xfId="543" applyFont="1" applyBorder="1" applyAlignment="1">
      <alignment horizontal="center" vertical="center" wrapText="1"/>
    </xf>
    <xf numFmtId="0" fontId="48" fillId="0" borderId="0" xfId="543" applyFont="1" applyAlignment="1">
      <alignment horizontal="center" vertical="center" wrapText="1"/>
    </xf>
    <xf numFmtId="0" fontId="48" fillId="0" borderId="12" xfId="543" applyFont="1" applyBorder="1" applyAlignment="1">
      <alignment horizontal="center" vertical="center" wrapText="1"/>
    </xf>
    <xf numFmtId="168" fontId="28" fillId="0" borderId="3" xfId="543" applyNumberFormat="1" applyFont="1" applyBorder="1" applyAlignment="1">
      <alignment horizontal="center" vertical="center"/>
    </xf>
    <xf numFmtId="168" fontId="28" fillId="0" borderId="4" xfId="543" applyNumberFormat="1" applyFont="1" applyBorder="1" applyAlignment="1">
      <alignment horizontal="center" vertical="center"/>
    </xf>
    <xf numFmtId="168" fontId="28" fillId="0" borderId="5" xfId="543" applyNumberFormat="1" applyFont="1" applyBorder="1" applyAlignment="1">
      <alignment horizontal="center" vertical="center"/>
    </xf>
    <xf numFmtId="0" fontId="40" fillId="5" borderId="9" xfId="543" applyFont="1" applyFill="1" applyBorder="1" applyAlignment="1" applyProtection="1">
      <alignment horizontal="center"/>
      <protection locked="0"/>
    </xf>
    <xf numFmtId="0" fontId="40" fillId="5" borderId="10" xfId="543" applyFont="1" applyFill="1" applyBorder="1" applyAlignment="1" applyProtection="1">
      <alignment horizontal="center"/>
      <protection locked="0"/>
    </xf>
    <xf numFmtId="0" fontId="29" fillId="5" borderId="3" xfId="543" applyFont="1" applyFill="1" applyBorder="1" applyAlignment="1" applyProtection="1">
      <alignment horizontal="left" vertical="top" wrapText="1"/>
      <protection locked="0"/>
    </xf>
    <xf numFmtId="0" fontId="29" fillId="5" borderId="4" xfId="543" applyFont="1" applyFill="1" applyBorder="1" applyAlignment="1" applyProtection="1">
      <alignment horizontal="left" vertical="top" wrapText="1"/>
      <protection locked="0"/>
    </xf>
    <xf numFmtId="0" fontId="29" fillId="5" borderId="5" xfId="543" applyFont="1" applyFill="1" applyBorder="1" applyAlignment="1" applyProtection="1">
      <alignment horizontal="left" vertical="top" wrapText="1"/>
      <protection locked="0"/>
    </xf>
    <xf numFmtId="0" fontId="28" fillId="10" borderId="3" xfId="543" applyFont="1" applyFill="1" applyBorder="1" applyAlignment="1">
      <alignment horizontal="center"/>
    </xf>
    <xf numFmtId="0" fontId="28" fillId="10" borderId="4" xfId="543" applyFont="1" applyFill="1" applyBorder="1" applyAlignment="1">
      <alignment horizontal="center"/>
    </xf>
    <xf numFmtId="0" fontId="28" fillId="10" borderId="5" xfId="543" applyFont="1" applyFill="1" applyBorder="1" applyAlignment="1">
      <alignment horizontal="center"/>
    </xf>
    <xf numFmtId="0" fontId="40" fillId="5" borderId="3" xfId="543" applyFont="1" applyFill="1" applyBorder="1" applyAlignment="1" applyProtection="1">
      <alignment horizontal="center" vertical="top"/>
      <protection locked="0"/>
    </xf>
    <xf numFmtId="0" fontId="40" fillId="5" borderId="5" xfId="543" applyFont="1" applyFill="1" applyBorder="1" applyAlignment="1" applyProtection="1">
      <alignment horizontal="center" vertical="top"/>
      <protection locked="0"/>
    </xf>
    <xf numFmtId="0" fontId="21" fillId="0" borderId="8" xfId="0" applyFont="1" applyBorder="1" applyAlignment="1">
      <alignment horizontal="left" wrapText="1"/>
    </xf>
    <xf numFmtId="0" fontId="21" fillId="0" borderId="12" xfId="0" applyFont="1" applyBorder="1" applyAlignment="1">
      <alignment horizontal="left" wrapText="1"/>
    </xf>
    <xf numFmtId="0" fontId="21" fillId="0" borderId="9" xfId="0" applyFont="1" applyBorder="1" applyAlignment="1">
      <alignment horizontal="left" wrapText="1"/>
    </xf>
    <xf numFmtId="0" fontId="21" fillId="0" borderId="6" xfId="0" applyFont="1" applyBorder="1" applyAlignment="1">
      <alignment horizontal="left" wrapText="1"/>
    </xf>
    <xf numFmtId="0" fontId="21" fillId="0" borderId="10" xfId="0" applyFont="1" applyBorder="1" applyAlignment="1">
      <alignment horizontal="left" wrapText="1"/>
    </xf>
    <xf numFmtId="0" fontId="28" fillId="0" borderId="1" xfId="543" applyFont="1" applyBorder="1" applyAlignment="1">
      <alignment horizontal="left" vertical="top" wrapText="1"/>
    </xf>
    <xf numFmtId="0" fontId="28" fillId="0" borderId="2" xfId="543" applyFont="1" applyBorder="1" applyAlignment="1">
      <alignment horizontal="left" vertical="top" wrapText="1"/>
    </xf>
    <xf numFmtId="0" fontId="28" fillId="0" borderId="7" xfId="543" applyFont="1" applyBorder="1" applyAlignment="1">
      <alignment horizontal="left" vertical="top" wrapText="1"/>
    </xf>
    <xf numFmtId="0" fontId="28" fillId="0" borderId="8" xfId="543" applyFont="1" applyBorder="1" applyAlignment="1">
      <alignment horizontal="left" vertical="top" wrapText="1"/>
    </xf>
    <xf numFmtId="0" fontId="28" fillId="0" borderId="0" xfId="543" applyFont="1" applyAlignment="1">
      <alignment horizontal="left" vertical="top" wrapText="1"/>
    </xf>
    <xf numFmtId="0" fontId="28" fillId="0" borderId="12" xfId="543" applyFont="1" applyBorder="1" applyAlignment="1">
      <alignment horizontal="left" vertical="top" wrapText="1"/>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41" fillId="0" borderId="1" xfId="543" applyFont="1" applyBorder="1" applyAlignment="1">
      <alignment horizontal="right"/>
    </xf>
    <xf numFmtId="0" fontId="41" fillId="0" borderId="2" xfId="543" applyFont="1" applyBorder="1" applyAlignment="1">
      <alignment horizontal="right"/>
    </xf>
    <xf numFmtId="0" fontId="41" fillId="0" borderId="7" xfId="543"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0" borderId="8" xfId="543" applyBorder="1" applyAlignment="1">
      <alignment horizontal="left" vertical="center" wrapText="1"/>
    </xf>
    <xf numFmtId="0" fontId="21" fillId="0" borderId="0" xfId="543" applyAlignment="1">
      <alignment horizontal="left" vertical="center" wrapText="1"/>
    </xf>
    <xf numFmtId="0" fontId="21" fillId="0" borderId="12" xfId="543" applyBorder="1" applyAlignment="1">
      <alignment horizontal="left" vertical="center" wrapText="1"/>
    </xf>
    <xf numFmtId="9" fontId="30" fillId="5" borderId="3" xfId="0" applyNumberFormat="1" applyFont="1" applyFill="1" applyBorder="1" applyAlignment="1" applyProtection="1">
      <alignment horizontal="center"/>
      <protection locked="0"/>
    </xf>
    <xf numFmtId="9" fontId="30" fillId="5" borderId="4" xfId="0" applyNumberFormat="1" applyFont="1" applyFill="1" applyBorder="1" applyAlignment="1" applyProtection="1">
      <alignment horizontal="center"/>
      <protection locked="0"/>
    </xf>
    <xf numFmtId="9" fontId="30" fillId="5" borderId="5" xfId="0" applyNumberFormat="1"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8" fillId="5" borderId="3" xfId="0" applyFont="1" applyFill="1" applyBorder="1" applyAlignment="1" applyProtection="1">
      <alignment horizontal="right"/>
      <protection locked="0"/>
    </xf>
    <xf numFmtId="0" fontId="28" fillId="5" borderId="4" xfId="0" applyFont="1" applyFill="1" applyBorder="1" applyAlignment="1" applyProtection="1">
      <alignment horizontal="right"/>
      <protection locked="0"/>
    </xf>
    <xf numFmtId="0" fontId="28" fillId="5" borderId="5" xfId="0" applyFont="1" applyFill="1" applyBorder="1" applyAlignment="1" applyProtection="1">
      <alignment horizontal="right"/>
      <protection locked="0"/>
    </xf>
    <xf numFmtId="0" fontId="30" fillId="0" borderId="3" xfId="0" applyFont="1" applyBorder="1" applyAlignment="1">
      <alignment horizontal="left"/>
    </xf>
    <xf numFmtId="0" fontId="0" fillId="0" borderId="4" xfId="0" applyBorder="1" applyAlignment="1">
      <alignment horizontal="left"/>
    </xf>
    <xf numFmtId="168" fontId="21" fillId="5" borderId="3" xfId="0" applyNumberFormat="1" applyFont="1" applyFill="1" applyBorder="1" applyAlignment="1" applyProtection="1">
      <alignment horizontal="left"/>
      <protection locked="0"/>
    </xf>
    <xf numFmtId="168" fontId="21" fillId="5" borderId="4" xfId="0" applyNumberFormat="1" applyFont="1" applyFill="1" applyBorder="1" applyAlignment="1" applyProtection="1">
      <alignment horizontal="left"/>
      <protection locked="0"/>
    </xf>
    <xf numFmtId="168" fontId="21"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28" fillId="0" borderId="1" xfId="0" applyFont="1" applyBorder="1" applyAlignment="1">
      <alignment horizontal="center"/>
    </xf>
    <xf numFmtId="0" fontId="28" fillId="0" borderId="2" xfId="0" applyFont="1" applyBorder="1" applyAlignment="1">
      <alignment horizontal="center"/>
    </xf>
    <xf numFmtId="0" fontId="28" fillId="0" borderId="7" xfId="0" applyFont="1" applyBorder="1" applyAlignment="1">
      <alignment horizontal="center"/>
    </xf>
    <xf numFmtId="168" fontId="0" fillId="5" borderId="11" xfId="0" applyNumberFormat="1" applyFill="1" applyBorder="1" applyProtection="1">
      <protection locked="0"/>
    </xf>
    <xf numFmtId="168" fontId="0" fillId="0" borderId="11" xfId="0" applyNumberFormat="1" applyBorder="1" applyAlignment="1">
      <alignment horizontal="center"/>
    </xf>
    <xf numFmtId="9" fontId="21" fillId="5" borderId="3" xfId="0" applyNumberFormat="1" applyFont="1" applyFill="1" applyBorder="1" applyAlignment="1" applyProtection="1">
      <alignment horizontal="right"/>
      <protection locked="0"/>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168" fontId="2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1" fillId="5" borderId="3" xfId="0" applyFont="1" applyFill="1" applyBorder="1" applyProtection="1">
      <protection locked="0"/>
    </xf>
    <xf numFmtId="0" fontId="30" fillId="0" borderId="4" xfId="0" applyFont="1" applyBorder="1" applyProtection="1">
      <protection locked="0"/>
    </xf>
    <xf numFmtId="0" fontId="30" fillId="0" borderId="5" xfId="0" applyFont="1" applyBorder="1" applyProtection="1">
      <protection locked="0"/>
    </xf>
    <xf numFmtId="165" fontId="28" fillId="0" borderId="3" xfId="271" applyNumberFormat="1" applyFont="1" applyBorder="1" applyAlignment="1">
      <alignment horizontal="center"/>
    </xf>
    <xf numFmtId="165" fontId="28" fillId="0" borderId="4" xfId="271" applyNumberFormat="1" applyFont="1" applyBorder="1" applyAlignment="1">
      <alignment horizontal="center"/>
    </xf>
    <xf numFmtId="165" fontId="28" fillId="0" borderId="5" xfId="271" applyNumberFormat="1" applyFont="1" applyBorder="1" applyAlignment="1">
      <alignment horizontal="center"/>
    </xf>
    <xf numFmtId="0" fontId="28" fillId="5" borderId="11" xfId="0" applyFont="1" applyFill="1" applyBorder="1" applyAlignment="1" applyProtection="1">
      <alignment horizontal="center"/>
      <protection locked="0"/>
    </xf>
    <xf numFmtId="0" fontId="0" fillId="0" borderId="3" xfId="0" applyBorder="1" applyAlignment="1">
      <alignment horizontal="left"/>
    </xf>
    <xf numFmtId="0" fontId="28" fillId="0" borderId="11" xfId="0" applyFont="1" applyBorder="1" applyAlignment="1">
      <alignment horizontal="center"/>
    </xf>
    <xf numFmtId="0" fontId="0" fillId="5" borderId="3" xfId="0" quotePrefix="1" applyFill="1" applyBorder="1" applyAlignment="1" applyProtection="1">
      <alignment horizontal="right"/>
      <protection locked="0"/>
    </xf>
    <xf numFmtId="0" fontId="21" fillId="0" borderId="0" xfId="543" applyAlignment="1">
      <alignment horizontal="center"/>
    </xf>
    <xf numFmtId="2" fontId="21" fillId="0" borderId="0" xfId="543" applyNumberFormat="1" applyAlignment="1">
      <alignment horizontal="center"/>
    </xf>
    <xf numFmtId="0" fontId="28" fillId="0" borderId="7" xfId="0" applyFont="1" applyBorder="1" applyAlignment="1">
      <alignment horizontal="center" wrapText="1"/>
    </xf>
    <xf numFmtId="14" fontId="0" fillId="5" borderId="3" xfId="0" quotePrefix="1" applyNumberFormat="1" applyFill="1" applyBorder="1" applyAlignment="1" applyProtection="1">
      <alignment horizontal="right"/>
      <protection locked="0"/>
    </xf>
    <xf numFmtId="0" fontId="40" fillId="5" borderId="3" xfId="543" applyFont="1" applyFill="1" applyBorder="1" applyAlignment="1">
      <alignment horizontal="center"/>
    </xf>
    <xf numFmtId="0" fontId="40" fillId="5" borderId="4" xfId="543" applyFont="1" applyFill="1" applyBorder="1" applyAlignment="1">
      <alignment horizontal="center"/>
    </xf>
    <xf numFmtId="0" fontId="40" fillId="5" borderId="5" xfId="543" applyFont="1" applyFill="1" applyBorder="1" applyAlignment="1">
      <alignment horizontal="center"/>
    </xf>
    <xf numFmtId="49" fontId="21" fillId="5" borderId="3" xfId="543" applyNumberFormat="1" applyFill="1" applyBorder="1" applyAlignment="1">
      <alignment horizontal="center"/>
    </xf>
    <xf numFmtId="49" fontId="21" fillId="5" borderId="5" xfId="543" applyNumberFormat="1" applyFill="1" applyBorder="1" applyAlignment="1">
      <alignment horizontal="center"/>
    </xf>
    <xf numFmtId="0" fontId="21" fillId="0" borderId="1" xfId="0" applyFont="1" applyBorder="1" applyAlignment="1">
      <alignment horizontal="center" vertical="top" wrapText="1"/>
    </xf>
    <xf numFmtId="0" fontId="30" fillId="0" borderId="2" xfId="0" applyFont="1" applyBorder="1" applyAlignment="1">
      <alignment horizontal="center" vertical="top" wrapText="1"/>
    </xf>
    <xf numFmtId="0" fontId="30" fillId="0" borderId="7" xfId="0" applyFont="1" applyBorder="1" applyAlignment="1">
      <alignment horizontal="center" vertical="top" wrapText="1"/>
    </xf>
    <xf numFmtId="0" fontId="30" fillId="0" borderId="8" xfId="0" applyFont="1" applyBorder="1" applyAlignment="1">
      <alignment horizontal="center" vertical="top" wrapText="1"/>
    </xf>
    <xf numFmtId="0" fontId="30" fillId="0" borderId="0" xfId="0" applyFont="1" applyAlignment="1">
      <alignment horizontal="center" vertical="top" wrapText="1"/>
    </xf>
    <xf numFmtId="0" fontId="30" fillId="0" borderId="12" xfId="0" applyFont="1" applyBorder="1" applyAlignment="1">
      <alignment horizontal="center" vertical="top" wrapText="1"/>
    </xf>
    <xf numFmtId="0" fontId="30" fillId="0" borderId="9" xfId="0" applyFont="1" applyBorder="1" applyAlignment="1">
      <alignment horizontal="center" vertical="top" wrapText="1"/>
    </xf>
    <xf numFmtId="0" fontId="30" fillId="0" borderId="6" xfId="0" applyFont="1" applyBorder="1" applyAlignment="1">
      <alignment horizontal="center" vertical="top" wrapText="1"/>
    </xf>
    <xf numFmtId="0" fontId="30" fillId="0" borderId="10" xfId="0" applyFont="1" applyBorder="1" applyAlignment="1">
      <alignment horizontal="center" vertical="top" wrapText="1"/>
    </xf>
    <xf numFmtId="171" fontId="21" fillId="0" borderId="0" xfId="543" applyNumberFormat="1" applyAlignment="1">
      <alignment horizontal="center"/>
    </xf>
    <xf numFmtId="0" fontId="30" fillId="0" borderId="1" xfId="0" applyFont="1" applyBorder="1" applyAlignment="1">
      <alignment horizontal="center" vertical="top" wrapText="1"/>
    </xf>
    <xf numFmtId="0" fontId="44" fillId="0" borderId="3" xfId="0" applyFont="1" applyBorder="1" applyAlignment="1">
      <alignment horizontal="center"/>
    </xf>
    <xf numFmtId="0" fontId="44" fillId="0" borderId="4" xfId="0" applyFont="1" applyBorder="1" applyAlignment="1">
      <alignment horizontal="center"/>
    </xf>
    <xf numFmtId="0" fontId="44" fillId="0" borderId="5" xfId="0" applyFont="1" applyBorder="1" applyAlignment="1">
      <alignment horizontal="center"/>
    </xf>
    <xf numFmtId="10" fontId="0" fillId="5" borderId="4" xfId="0" applyNumberFormat="1" applyFill="1" applyBorder="1" applyAlignment="1" applyProtection="1">
      <alignment horizontal="center"/>
      <protection locked="0"/>
    </xf>
    <xf numFmtId="0" fontId="28" fillId="0" borderId="9" xfId="0" applyFont="1" applyBorder="1" applyAlignment="1">
      <alignment horizontal="right"/>
    </xf>
    <xf numFmtId="0" fontId="28" fillId="0" borderId="6" xfId="0" applyFont="1" applyBorder="1" applyAlignment="1">
      <alignment horizontal="right"/>
    </xf>
    <xf numFmtId="0" fontId="28" fillId="0" borderId="10" xfId="0" applyFont="1" applyBorder="1" applyAlignment="1">
      <alignment horizontal="right"/>
    </xf>
    <xf numFmtId="0" fontId="21" fillId="5" borderId="4" xfId="0" applyFont="1" applyFill="1" applyBorder="1" applyAlignment="1" applyProtection="1">
      <alignment wrapText="1"/>
      <protection locked="0"/>
    </xf>
    <xf numFmtId="0" fontId="30" fillId="5" borderId="5" xfId="0" applyFont="1" applyFill="1" applyBorder="1" applyAlignment="1" applyProtection="1">
      <alignment wrapText="1"/>
      <protection locked="0"/>
    </xf>
    <xf numFmtId="0" fontId="0" fillId="43" borderId="4" xfId="0" applyFill="1" applyBorder="1" applyAlignment="1" applyProtection="1">
      <alignment horizontal="center"/>
      <protection locked="0"/>
    </xf>
    <xf numFmtId="0" fontId="58" fillId="0" borderId="1" xfId="0" applyFont="1" applyBorder="1" applyAlignment="1">
      <alignment horizontal="center" vertical="center" wrapText="1"/>
    </xf>
    <xf numFmtId="0" fontId="58" fillId="0" borderId="2" xfId="0" applyFont="1" applyBorder="1" applyAlignment="1">
      <alignment horizontal="center" vertical="center" wrapText="1"/>
    </xf>
    <xf numFmtId="0" fontId="58" fillId="0" borderId="7" xfId="0" applyFont="1" applyBorder="1" applyAlignment="1">
      <alignment horizontal="center" vertical="center" wrapText="1"/>
    </xf>
    <xf numFmtId="0" fontId="58" fillId="0" borderId="8" xfId="0" applyFont="1" applyBorder="1" applyAlignment="1">
      <alignment horizontal="center" vertical="center" wrapText="1"/>
    </xf>
    <xf numFmtId="0" fontId="58" fillId="0" borderId="0" xfId="0" applyFont="1" applyAlignment="1">
      <alignment horizontal="center" vertical="center" wrapText="1"/>
    </xf>
    <xf numFmtId="0" fontId="58" fillId="0" borderId="12" xfId="0" applyFont="1" applyBorder="1" applyAlignment="1">
      <alignment horizontal="center" vertical="center" wrapText="1"/>
    </xf>
    <xf numFmtId="0" fontId="58" fillId="0" borderId="9" xfId="0" applyFont="1" applyBorder="1" applyAlignment="1">
      <alignment horizontal="center" vertical="center" wrapText="1"/>
    </xf>
    <xf numFmtId="0" fontId="58" fillId="0" borderId="6" xfId="0" applyFont="1" applyBorder="1" applyAlignment="1">
      <alignment horizontal="center" vertical="center" wrapText="1"/>
    </xf>
    <xf numFmtId="0" fontId="58" fillId="0" borderId="10" xfId="0" applyFont="1" applyBorder="1" applyAlignment="1">
      <alignment horizontal="center" vertical="center" wrapText="1"/>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0" fontId="37"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7" xfId="0" applyFont="1" applyBorder="1" applyAlignment="1">
      <alignment horizontal="center" vertical="center" wrapText="1"/>
    </xf>
    <xf numFmtId="0" fontId="37" fillId="0" borderId="8" xfId="0" applyFont="1" applyBorder="1" applyAlignment="1">
      <alignment horizontal="center" vertical="center" wrapText="1"/>
    </xf>
    <xf numFmtId="0" fontId="37" fillId="0" borderId="0" xfId="0" applyFont="1" applyAlignment="1">
      <alignment horizontal="center" vertical="center" wrapText="1"/>
    </xf>
    <xf numFmtId="0" fontId="37" fillId="0" borderId="12" xfId="0" applyFont="1" applyBorder="1" applyAlignment="1">
      <alignment horizontal="center" vertical="center" wrapText="1"/>
    </xf>
    <xf numFmtId="0" fontId="37" fillId="0" borderId="9" xfId="0" applyFont="1" applyBorder="1" applyAlignment="1">
      <alignment horizontal="center" vertical="center" wrapText="1"/>
    </xf>
    <xf numFmtId="0" fontId="37" fillId="0" borderId="6" xfId="0" applyFont="1" applyBorder="1" applyAlignment="1">
      <alignment horizontal="center" vertical="center" wrapText="1"/>
    </xf>
    <xf numFmtId="0" fontId="37" fillId="0" borderId="10" xfId="0" applyFont="1" applyBorder="1" applyAlignment="1">
      <alignment horizontal="center" vertical="center" wrapText="1"/>
    </xf>
    <xf numFmtId="175" fontId="0" fillId="5" borderId="4" xfId="0" applyNumberFormat="1" applyFill="1" applyBorder="1" applyAlignment="1" applyProtection="1">
      <alignment horizontal="left" vertical="center" wrapText="1"/>
      <protection locked="0"/>
    </xf>
    <xf numFmtId="172" fontId="28" fillId="0" borderId="11" xfId="0" applyNumberFormat="1" applyFont="1" applyBorder="1" applyAlignment="1">
      <alignment horizontal="center" vertical="center" wrapText="1"/>
    </xf>
    <xf numFmtId="166" fontId="21" fillId="5" borderId="4"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9" fillId="0" borderId="0" xfId="0" applyFont="1" applyAlignment="1">
      <alignment horizontal="center" vertical="center" wrapText="1"/>
    </xf>
    <xf numFmtId="168" fontId="159" fillId="0" borderId="0" xfId="0" applyNumberFormat="1" applyFont="1" applyAlignment="1">
      <alignment horizontal="center" vertical="center" wrapText="1"/>
    </xf>
    <xf numFmtId="1" fontId="21" fillId="0" borderId="3" xfId="0" applyNumberFormat="1" applyFont="1" applyBorder="1" applyAlignment="1">
      <alignment horizontal="center"/>
    </xf>
    <xf numFmtId="1" fontId="30" fillId="0" borderId="4" xfId="0" applyNumberFormat="1" applyFont="1" applyBorder="1" applyAlignment="1">
      <alignment horizontal="center"/>
    </xf>
    <xf numFmtId="1" fontId="30" fillId="0" borderId="5" xfId="0" applyNumberFormat="1" applyFont="1" applyBorder="1" applyAlignment="1">
      <alignment horizontal="center"/>
    </xf>
    <xf numFmtId="0" fontId="30" fillId="5" borderId="6" xfId="271" applyFill="1" applyBorder="1" applyProtection="1">
      <protection locked="0"/>
    </xf>
    <xf numFmtId="14" fontId="0" fillId="5" borderId="4" xfId="0" applyNumberFormat="1" applyFill="1" applyBorder="1" applyAlignment="1" applyProtection="1">
      <alignment horizontal="center"/>
      <protection locked="0"/>
    </xf>
    <xf numFmtId="0" fontId="2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30" fillId="0" borderId="11" xfId="0" applyFont="1" applyBorder="1" applyAlignment="1">
      <alignment horizontal="center"/>
    </xf>
    <xf numFmtId="0" fontId="21" fillId="43" borderId="11" xfId="0" applyFont="1" applyFill="1" applyBorder="1" applyAlignment="1" applyProtection="1">
      <alignment horizontal="center"/>
      <protection locked="0"/>
    </xf>
    <xf numFmtId="171" fontId="21" fillId="0" borderId="0" xfId="543" applyNumberFormat="1" applyAlignment="1">
      <alignment horizontal="right"/>
    </xf>
    <xf numFmtId="0" fontId="28" fillId="0" borderId="0" xfId="0" applyFont="1" applyAlignment="1">
      <alignment horizontal="center" vertical="center"/>
    </xf>
    <xf numFmtId="0" fontId="28" fillId="0" borderId="2" xfId="0" applyFont="1" applyBorder="1" applyAlignment="1">
      <alignment horizontal="right"/>
    </xf>
    <xf numFmtId="0" fontId="28" fillId="0" borderId="7" xfId="0" applyFont="1" applyBorder="1" applyAlignment="1">
      <alignment horizontal="right"/>
    </xf>
    <xf numFmtId="9" fontId="21"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21" fillId="5" borderId="10" xfId="0" applyNumberFormat="1" applyFont="1" applyFill="1" applyBorder="1" applyAlignment="1" applyProtection="1">
      <alignment horizontal="right"/>
      <protection locked="0"/>
    </xf>
    <xf numFmtId="168" fontId="21" fillId="5" borderId="13" xfId="0" applyNumberFormat="1" applyFont="1" applyFill="1" applyBorder="1" applyAlignment="1" applyProtection="1">
      <alignment horizontal="right"/>
      <protection locked="0"/>
    </xf>
    <xf numFmtId="168" fontId="0" fillId="0" borderId="11" xfId="0" applyNumberFormat="1" applyBorder="1"/>
    <xf numFmtId="0" fontId="0" fillId="43" borderId="6" xfId="0" applyFill="1" applyBorder="1" applyAlignment="1" applyProtection="1">
      <alignment horizontal="left"/>
      <protection locked="0"/>
    </xf>
    <xf numFmtId="178" fontId="30" fillId="5" borderId="4" xfId="0" applyNumberFormat="1" applyFont="1" applyFill="1" applyBorder="1" applyAlignment="1" applyProtection="1">
      <alignment horizontal="right"/>
      <protection locked="0"/>
    </xf>
    <xf numFmtId="0" fontId="29" fillId="43"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68" fontId="30" fillId="0" borderId="3" xfId="0" applyNumberFormat="1" applyFont="1" applyBorder="1" applyAlignment="1">
      <alignment horizontal="left" vertical="top"/>
    </xf>
    <xf numFmtId="168" fontId="30" fillId="0" borderId="4" xfId="0" applyNumberFormat="1" applyFont="1" applyBorder="1" applyAlignment="1">
      <alignment horizontal="left" vertical="top"/>
    </xf>
    <xf numFmtId="168" fontId="30" fillId="0" borderId="5" xfId="0" applyNumberFormat="1" applyFont="1" applyBorder="1" applyAlignment="1">
      <alignment horizontal="left" vertical="top"/>
    </xf>
    <xf numFmtId="0" fontId="21" fillId="0" borderId="3" xfId="0" applyFont="1" applyBorder="1" applyAlignment="1">
      <alignment horizontal="left"/>
    </xf>
    <xf numFmtId="0" fontId="21" fillId="0" borderId="4" xfId="0" applyFont="1" applyBorder="1" applyAlignment="1">
      <alignment horizontal="left"/>
    </xf>
    <xf numFmtId="0" fontId="21" fillId="0" borderId="5" xfId="0" applyFont="1" applyBorder="1" applyAlignment="1">
      <alignment horizontal="left"/>
    </xf>
    <xf numFmtId="0" fontId="21" fillId="43" borderId="4" xfId="0" applyFont="1" applyFill="1" applyBorder="1" applyAlignment="1" applyProtection="1">
      <alignment horizontal="left" wrapText="1"/>
      <protection locked="0"/>
    </xf>
    <xf numFmtId="0" fontId="21" fillId="5" borderId="0" xfId="0" applyFont="1" applyFill="1" applyAlignment="1" applyProtection="1">
      <alignment horizontal="left" vertical="top" wrapText="1"/>
      <protection locked="0"/>
    </xf>
    <xf numFmtId="0" fontId="30" fillId="5" borderId="0" xfId="0" applyFont="1" applyFill="1" applyAlignment="1" applyProtection="1">
      <alignment horizontal="left" vertical="top" wrapText="1"/>
      <protection locked="0"/>
    </xf>
    <xf numFmtId="0" fontId="30"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30" fillId="5" borderId="6" xfId="0" applyNumberFormat="1" applyFont="1" applyFill="1" applyBorder="1" applyAlignment="1" applyProtection="1">
      <alignment horizontal="right"/>
      <protection locked="0"/>
    </xf>
    <xf numFmtId="0" fontId="21" fillId="5" borderId="4"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3" fontId="30" fillId="5" borderId="11" xfId="0" applyNumberFormat="1"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80" fontId="0" fillId="0" borderId="6" xfId="0" applyNumberFormat="1" applyBorder="1" applyAlignment="1">
      <alignment horizontal="center"/>
    </xf>
    <xf numFmtId="14" fontId="30" fillId="5" borderId="4" xfId="0" applyNumberFormat="1" applyFont="1" applyFill="1" applyBorder="1" applyAlignment="1" applyProtection="1">
      <alignment horizontal="right"/>
      <protection locked="0"/>
    </xf>
    <xf numFmtId="0" fontId="21" fillId="5" borderId="6" xfId="0" applyFont="1" applyFill="1" applyBorder="1" applyAlignment="1" applyProtection="1">
      <alignment horizontal="center"/>
      <protection locked="0"/>
    </xf>
    <xf numFmtId="10" fontId="30" fillId="5" borderId="4" xfId="0" applyNumberFormat="1" applyFont="1" applyFill="1" applyBorder="1" applyAlignment="1" applyProtection="1">
      <alignment horizontal="right"/>
      <protection locked="0"/>
    </xf>
    <xf numFmtId="0" fontId="30" fillId="5" borderId="4" xfId="0" applyFont="1" applyFill="1" applyBorder="1" applyAlignment="1" applyProtection="1">
      <alignment horizontal="right"/>
      <protection locked="0"/>
    </xf>
    <xf numFmtId="1" fontId="30" fillId="5" borderId="6" xfId="0" applyNumberFormat="1" applyFont="1" applyFill="1" applyBorder="1" applyAlignment="1" applyProtection="1">
      <alignment horizontal="right"/>
      <protection locked="0"/>
    </xf>
    <xf numFmtId="0" fontId="21" fillId="0" borderId="3" xfId="271" applyFont="1" applyBorder="1" applyAlignment="1">
      <alignment horizontal="left"/>
    </xf>
    <xf numFmtId="0" fontId="21" fillId="0" borderId="4" xfId="271" applyFont="1" applyBorder="1" applyAlignment="1">
      <alignment horizontal="left"/>
    </xf>
    <xf numFmtId="0" fontId="21" fillId="0" borderId="5" xfId="271" applyFont="1" applyBorder="1" applyAlignment="1">
      <alignment horizontal="left"/>
    </xf>
    <xf numFmtId="0" fontId="30" fillId="5" borderId="11" xfId="0" applyFont="1" applyFill="1" applyBorder="1" applyAlignment="1" applyProtection="1">
      <alignment horizontal="center"/>
      <protection locked="0"/>
    </xf>
    <xf numFmtId="0" fontId="21" fillId="5" borderId="6" xfId="244" applyFont="1" applyFill="1" applyBorder="1" applyAlignment="1" applyProtection="1">
      <alignment horizontal="left"/>
      <protection locked="0"/>
    </xf>
    <xf numFmtId="0" fontId="21" fillId="5" borderId="0" xfId="244" applyFont="1" applyFill="1" applyBorder="1" applyAlignment="1" applyProtection="1">
      <alignment horizontal="left"/>
      <protection locked="0"/>
    </xf>
    <xf numFmtId="0" fontId="30" fillId="0" borderId="6" xfId="0" applyFont="1" applyBorder="1" applyAlignment="1">
      <alignment horizontal="left"/>
    </xf>
    <xf numFmtId="0" fontId="21"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21"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30"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56" fillId="0" borderId="0" xfId="0" applyFont="1" applyAlignment="1" applyProtection="1">
      <alignment horizontal="left" vertical="top" wrapText="1"/>
      <protection locked="0"/>
    </xf>
    <xf numFmtId="166" fontId="30" fillId="5" borderId="6"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1" fillId="0" borderId="6" xfId="0" applyFont="1" applyBorder="1" applyAlignment="1" applyProtection="1">
      <alignment horizontal="left"/>
      <protection locked="0"/>
    </xf>
    <xf numFmtId="0" fontId="22" fillId="0" borderId="0" xfId="244" applyFill="1" applyAlignment="1" applyProtection="1">
      <alignment horizontal="left"/>
      <protection locked="0"/>
    </xf>
    <xf numFmtId="168" fontId="21" fillId="0" borderId="6" xfId="0" applyNumberFormat="1" applyFont="1" applyBorder="1" applyAlignment="1">
      <alignment horizontal="center"/>
    </xf>
    <xf numFmtId="168" fontId="0" fillId="0" borderId="6" xfId="0" applyNumberFormat="1" applyBorder="1" applyAlignment="1">
      <alignment horizontal="center"/>
    </xf>
    <xf numFmtId="0" fontId="21" fillId="0" borderId="0" xfId="0" applyFont="1" applyAlignment="1" applyProtection="1">
      <alignment horizontal="left"/>
      <protection locked="0"/>
    </xf>
    <xf numFmtId="0" fontId="21" fillId="43" borderId="6" xfId="0" applyFont="1" applyFill="1" applyBorder="1" applyAlignment="1" applyProtection="1">
      <alignment vertical="center"/>
      <protection locked="0"/>
    </xf>
    <xf numFmtId="0" fontId="30" fillId="43" borderId="6" xfId="0" applyFont="1" applyFill="1" applyBorder="1" applyAlignment="1" applyProtection="1">
      <alignment horizontal="left"/>
      <protection locked="0"/>
    </xf>
    <xf numFmtId="0" fontId="21" fillId="0" borderId="6" xfId="0" applyFont="1" applyBorder="1" applyAlignment="1">
      <alignment horizontal="left"/>
    </xf>
    <xf numFmtId="0" fontId="0" fillId="5" borderId="6" xfId="0" applyFill="1" applyBorder="1" applyAlignment="1" applyProtection="1">
      <alignment horizontal="right"/>
      <protection locked="0"/>
    </xf>
    <xf numFmtId="0" fontId="0" fillId="5" borderId="6" xfId="0" applyFill="1" applyBorder="1" applyProtection="1">
      <protection locked="0"/>
    </xf>
    <xf numFmtId="0" fontId="21" fillId="0" borderId="4" xfId="0" applyFont="1" applyBorder="1" applyAlignment="1" applyProtection="1">
      <alignment horizontal="left"/>
      <protection locked="0"/>
    </xf>
    <xf numFmtId="0" fontId="30" fillId="0" borderId="4" xfId="0" applyFont="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30" fillId="5" borderId="4" xfId="271" applyNumberFormat="1" applyFill="1" applyBorder="1" applyAlignment="1" applyProtection="1">
      <alignment horizontal="left"/>
      <protection locked="0"/>
    </xf>
    <xf numFmtId="9" fontId="29" fillId="0" borderId="3" xfId="4494" applyFont="1" applyBorder="1" applyAlignment="1" applyProtection="1">
      <alignment horizontal="center"/>
    </xf>
    <xf numFmtId="9" fontId="29" fillId="0" borderId="5" xfId="4494" applyFont="1" applyBorder="1" applyAlignment="1" applyProtection="1">
      <alignment horizontal="center"/>
    </xf>
    <xf numFmtId="173" fontId="0" fillId="5" borderId="6" xfId="0" applyNumberFormat="1" applyFill="1" applyBorder="1" applyAlignment="1" applyProtection="1">
      <alignment horizontal="center"/>
      <protection locked="0"/>
    </xf>
    <xf numFmtId="166" fontId="21" fillId="5" borderId="6" xfId="271" applyNumberFormat="1" applyFont="1" applyFill="1" applyBorder="1" applyAlignment="1" applyProtection="1">
      <alignment horizontal="left"/>
      <protection locked="0"/>
    </xf>
    <xf numFmtId="168" fontId="30"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0" fontId="0" fillId="0" borderId="5" xfId="0" applyBorder="1" applyAlignment="1">
      <alignment horizontal="left"/>
    </xf>
    <xf numFmtId="10" fontId="30" fillId="0" borderId="11" xfId="0" applyNumberFormat="1" applyFont="1" applyBorder="1" applyAlignment="1">
      <alignment horizontal="center"/>
    </xf>
    <xf numFmtId="3" fontId="0" fillId="0" borderId="6" xfId="0" applyNumberFormat="1" applyBorder="1" applyAlignment="1">
      <alignment horizontal="right"/>
    </xf>
    <xf numFmtId="168" fontId="21" fillId="0" borderId="3" xfId="0" applyNumberFormat="1" applyFont="1" applyBorder="1" applyAlignment="1">
      <alignment horizontal="left" vertical="top"/>
    </xf>
    <xf numFmtId="1" fontId="30"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30" fillId="5" borderId="3" xfId="0" applyNumberFormat="1" applyFont="1" applyFill="1" applyBorder="1" applyAlignment="1" applyProtection="1">
      <alignment horizontal="center"/>
      <protection locked="0"/>
    </xf>
    <xf numFmtId="165" fontId="30" fillId="5" borderId="4" xfId="0" applyNumberFormat="1" applyFont="1" applyFill="1" applyBorder="1" applyAlignment="1" applyProtection="1">
      <alignment horizontal="center"/>
      <protection locked="0"/>
    </xf>
    <xf numFmtId="165" fontId="30" fillId="5" borderId="5" xfId="0" applyNumberFormat="1" applyFont="1" applyFill="1" applyBorder="1" applyAlignment="1" applyProtection="1">
      <alignment horizontal="center"/>
      <protection locked="0"/>
    </xf>
    <xf numFmtId="168" fontId="30"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57" fillId="0" borderId="2" xfId="0" applyNumberFormat="1" applyFont="1" applyBorder="1" applyAlignment="1">
      <alignment horizontal="left" vertical="top" wrapText="1"/>
    </xf>
    <xf numFmtId="168" fontId="57" fillId="0" borderId="0" xfId="0" applyNumberFormat="1" applyFont="1" applyAlignment="1">
      <alignment horizontal="left" vertical="top" wrapText="1"/>
    </xf>
    <xf numFmtId="0" fontId="28" fillId="0" borderId="3" xfId="0" applyFont="1" applyBorder="1" applyAlignment="1">
      <alignment horizontal="center"/>
    </xf>
    <xf numFmtId="0" fontId="28" fillId="0" borderId="4" xfId="0" applyFont="1" applyBorder="1" applyAlignment="1">
      <alignment horizontal="center"/>
    </xf>
    <xf numFmtId="0" fontId="21" fillId="43" borderId="6" xfId="0" applyFont="1" applyFill="1" applyBorder="1" applyAlignment="1" applyProtection="1">
      <alignment horizontal="left"/>
      <protection locked="0"/>
    </xf>
    <xf numFmtId="0" fontId="28" fillId="0" borderId="10" xfId="0" applyFont="1" applyBorder="1" applyAlignment="1">
      <alignment horizontal="center"/>
    </xf>
    <xf numFmtId="0" fontId="28" fillId="0" borderId="9" xfId="0" applyFont="1" applyBorder="1" applyAlignment="1">
      <alignment horizontal="center"/>
    </xf>
    <xf numFmtId="0" fontId="40" fillId="5" borderId="6" xfId="0" applyFont="1" applyFill="1" applyBorder="1" applyAlignment="1" applyProtection="1">
      <alignment horizontal="left"/>
      <protection locked="0"/>
    </xf>
    <xf numFmtId="3" fontId="30" fillId="0" borderId="11" xfId="0" applyNumberFormat="1" applyFont="1" applyBorder="1" applyAlignment="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8" fillId="0" borderId="5" xfId="0" applyFont="1" applyBorder="1" applyAlignment="1">
      <alignment horizontal="center"/>
    </xf>
    <xf numFmtId="0" fontId="0" fillId="0" borderId="6" xfId="0"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43" borderId="10" xfId="0" applyFill="1" applyBorder="1" applyAlignment="1" applyProtection="1">
      <alignment horizontal="left"/>
      <protection locked="0"/>
    </xf>
    <xf numFmtId="168" fontId="187" fillId="0" borderId="105" xfId="543" applyNumberFormat="1" applyFont="1" applyBorder="1" applyAlignment="1">
      <alignment horizontal="right" vertical="center" wrapText="1"/>
    </xf>
    <xf numFmtId="175" fontId="187" fillId="0" borderId="107" xfId="543" applyNumberFormat="1" applyFont="1" applyBorder="1" applyAlignment="1">
      <alignment horizontal="center" vertical="center" wrapText="1"/>
    </xf>
    <xf numFmtId="175" fontId="187" fillId="0" borderId="108" xfId="543" applyNumberFormat="1" applyFont="1" applyBorder="1" applyAlignment="1">
      <alignment horizontal="center" vertical="center" wrapText="1"/>
    </xf>
    <xf numFmtId="175" fontId="187" fillId="0" borderId="109" xfId="543" applyNumberFormat="1" applyFont="1" applyBorder="1" applyAlignment="1">
      <alignment horizontal="center" vertical="center" wrapText="1"/>
    </xf>
    <xf numFmtId="0" fontId="186"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7" fillId="3" borderId="16" xfId="0" applyFont="1" applyFill="1" applyBorder="1" applyAlignment="1">
      <alignment horizontal="center" vertical="center" wrapText="1"/>
    </xf>
    <xf numFmtId="0" fontId="109" fillId="0" borderId="0" xfId="0" applyFont="1" applyAlignment="1">
      <alignment horizontal="left" vertical="top" wrapText="1"/>
    </xf>
    <xf numFmtId="0" fontId="22" fillId="0" borderId="0" xfId="244" applyAlignment="1">
      <alignment horizontal="left" vertical="top"/>
    </xf>
    <xf numFmtId="0" fontId="50" fillId="0" borderId="0" xfId="0" applyFont="1" applyAlignment="1">
      <alignment horizontal="left" vertical="top" wrapText="1"/>
    </xf>
    <xf numFmtId="0" fontId="117" fillId="0" borderId="0" xfId="0" applyFont="1" applyAlignment="1">
      <alignment horizontal="left" wrapText="1"/>
    </xf>
    <xf numFmtId="0" fontId="30" fillId="0" borderId="0" xfId="0" applyFont="1" applyAlignment="1">
      <alignment horizontal="left" wrapText="1"/>
    </xf>
    <xf numFmtId="0" fontId="22" fillId="0" borderId="0" xfId="244" applyAlignment="1" applyProtection="1">
      <alignment horizontal="left"/>
    </xf>
    <xf numFmtId="0" fontId="22" fillId="0" borderId="0" xfId="244"/>
    <xf numFmtId="0" fontId="0" fillId="0" borderId="0" xfId="0"/>
    <xf numFmtId="0" fontId="21" fillId="0" borderId="0" xfId="1192" applyAlignment="1">
      <alignment horizontal="left" vertical="top" wrapText="1"/>
    </xf>
    <xf numFmtId="0" fontId="28" fillId="0" borderId="0" xfId="0" applyFont="1" applyAlignment="1">
      <alignment horizontal="left" vertical="top" wrapText="1"/>
    </xf>
    <xf numFmtId="0" fontId="118" fillId="0" borderId="0" xfId="569" applyFont="1" applyAlignment="1">
      <alignment horizontal="center"/>
    </xf>
    <xf numFmtId="0" fontId="119" fillId="0" borderId="0" xfId="569" applyFont="1"/>
    <xf numFmtId="0" fontId="21" fillId="0" borderId="0" xfId="569" applyAlignment="1">
      <alignment wrapText="1"/>
    </xf>
    <xf numFmtId="0" fontId="28" fillId="0" borderId="0" xfId="569" applyFont="1" applyAlignment="1">
      <alignment wrapText="1"/>
    </xf>
    <xf numFmtId="0" fontId="36" fillId="0" borderId="0" xfId="569" applyFont="1" applyAlignment="1">
      <alignment horizontal="center"/>
    </xf>
    <xf numFmtId="0" fontId="21" fillId="0" borderId="0" xfId="569"/>
    <xf numFmtId="0" fontId="21" fillId="0" borderId="0" xfId="1192" applyAlignment="1">
      <alignment vertical="top" wrapText="1"/>
    </xf>
    <xf numFmtId="0" fontId="21" fillId="0" borderId="0" xfId="0" applyFont="1" applyAlignment="1">
      <alignment horizontal="left" vertical="top"/>
    </xf>
    <xf numFmtId="4" fontId="21" fillId="0" borderId="0" xfId="569" applyNumberFormat="1" applyAlignment="1">
      <alignment horizontal="left"/>
    </xf>
    <xf numFmtId="0" fontId="39" fillId="0" borderId="0" xfId="569" applyFont="1" applyAlignment="1">
      <alignment horizontal="left" vertical="top"/>
    </xf>
    <xf numFmtId="4" fontId="39" fillId="0" borderId="0" xfId="0" applyNumberFormat="1" applyFont="1" applyAlignment="1">
      <alignment horizontal="left"/>
    </xf>
    <xf numFmtId="4" fontId="21" fillId="0" borderId="0" xfId="0" applyNumberFormat="1" applyFont="1" applyAlignment="1">
      <alignment horizontal="left"/>
    </xf>
    <xf numFmtId="0" fontId="28" fillId="0" borderId="4" xfId="0" applyFont="1" applyBorder="1" applyAlignment="1">
      <alignment horizontal="left"/>
    </xf>
    <xf numFmtId="0" fontId="39" fillId="0" borderId="0" xfId="0" applyFont="1" applyAlignment="1">
      <alignment horizontal="left" vertical="top"/>
    </xf>
    <xf numFmtId="49" fontId="21" fillId="0" borderId="0" xfId="0" applyNumberFormat="1" applyFont="1" applyAlignment="1">
      <alignment horizontal="left" vertical="top" wrapText="1"/>
    </xf>
    <xf numFmtId="0" fontId="39" fillId="0" borderId="0" xfId="0" applyFont="1" applyAlignment="1">
      <alignment horizontal="left"/>
    </xf>
    <xf numFmtId="0" fontId="21" fillId="0" borderId="0" xfId="0" applyFont="1" applyAlignment="1">
      <alignment horizontal="left"/>
    </xf>
    <xf numFmtId="0" fontId="28" fillId="0" borderId="0" xfId="0" applyFont="1" applyAlignment="1">
      <alignment vertical="top" wrapText="1"/>
    </xf>
    <xf numFmtId="4" fontId="21" fillId="0" borderId="0" xfId="0" applyNumberFormat="1" applyFont="1" applyAlignment="1">
      <alignment horizontal="left" vertical="top" wrapText="1"/>
    </xf>
    <xf numFmtId="0" fontId="21" fillId="0" borderId="0" xfId="0" applyFont="1" applyAlignment="1">
      <alignment horizontal="left" vertical="center" wrapText="1"/>
    </xf>
    <xf numFmtId="0" fontId="21" fillId="0" borderId="0" xfId="569" applyAlignment="1">
      <alignment horizontal="left" wrapText="1"/>
    </xf>
    <xf numFmtId="0" fontId="22" fillId="0" borderId="0" xfId="244" applyFill="1" applyBorder="1" applyAlignment="1">
      <alignment horizontal="left" vertical="top" wrapText="1"/>
    </xf>
    <xf numFmtId="0" fontId="28" fillId="0" borderId="0" xfId="1192" applyFont="1" applyAlignment="1">
      <alignment horizontal="left" vertical="top" wrapText="1"/>
    </xf>
    <xf numFmtId="4" fontId="21" fillId="0" borderId="0" xfId="569" applyNumberFormat="1" applyAlignment="1">
      <alignment horizontal="left" vertical="top" wrapText="1"/>
    </xf>
    <xf numFmtId="0" fontId="21" fillId="0" borderId="0" xfId="569" applyAlignment="1">
      <alignment horizontal="left" vertical="top" wrapText="1"/>
    </xf>
    <xf numFmtId="0" fontId="28" fillId="0" borderId="4" xfId="569" applyFont="1" applyBorder="1" applyAlignment="1">
      <alignment horizontal="left"/>
    </xf>
    <xf numFmtId="0" fontId="21" fillId="0" borderId="0" xfId="569" applyAlignment="1">
      <alignment horizontal="left"/>
    </xf>
    <xf numFmtId="0" fontId="39" fillId="0" borderId="0" xfId="569" applyFont="1" applyAlignment="1">
      <alignment horizontal="left"/>
    </xf>
    <xf numFmtId="0" fontId="28" fillId="0" borderId="4" xfId="569" applyFont="1" applyBorder="1" applyAlignment="1">
      <alignment horizontal="left" vertical="top"/>
    </xf>
    <xf numFmtId="0" fontId="22" fillId="0" borderId="0" xfId="244" quotePrefix="1" applyAlignment="1" applyProtection="1">
      <alignment horizontal="left"/>
    </xf>
    <xf numFmtId="0" fontId="21" fillId="0" borderId="0" xfId="569" applyAlignment="1">
      <alignment horizontal="left" vertical="top"/>
    </xf>
    <xf numFmtId="0" fontId="21" fillId="0" borderId="0" xfId="0" quotePrefix="1" applyFont="1" applyAlignment="1">
      <alignment horizontal="left" vertical="top"/>
    </xf>
    <xf numFmtId="0" fontId="39" fillId="0" borderId="0" xfId="0" applyFont="1" applyAlignment="1">
      <alignment horizontal="left" vertical="top" wrapText="1"/>
    </xf>
    <xf numFmtId="0" fontId="21" fillId="0" borderId="0" xfId="0" quotePrefix="1" applyFont="1" applyAlignment="1">
      <alignment horizontal="left" vertical="top" wrapText="1"/>
    </xf>
    <xf numFmtId="0" fontId="21" fillId="0" borderId="0" xfId="1192" applyAlignment="1">
      <alignment horizontal="left"/>
    </xf>
    <xf numFmtId="0" fontId="28" fillId="0" borderId="16" xfId="569" applyFont="1" applyBorder="1" applyAlignment="1">
      <alignment horizontal="left"/>
    </xf>
    <xf numFmtId="4" fontId="39" fillId="0" borderId="0" xfId="569" applyNumberFormat="1" applyFont="1" applyAlignment="1">
      <alignment horizontal="left" vertical="top" wrapText="1"/>
    </xf>
    <xf numFmtId="0" fontId="21" fillId="0" borderId="0" xfId="1192" applyAlignment="1" applyProtection="1">
      <alignment horizontal="left" vertical="top" wrapText="1"/>
      <protection locked="0"/>
    </xf>
    <xf numFmtId="0" fontId="0" fillId="0" borderId="0" xfId="0" applyAlignment="1">
      <alignment horizontal="left" vertical="top" wrapText="1"/>
    </xf>
    <xf numFmtId="0" fontId="39" fillId="0" borderId="0" xfId="1192" applyFont="1" applyAlignment="1">
      <alignment horizontal="left" vertical="top" wrapText="1"/>
    </xf>
    <xf numFmtId="4" fontId="21" fillId="0" borderId="0" xfId="1192" applyNumberFormat="1" applyAlignment="1">
      <alignment horizontal="left" vertical="top" wrapText="1"/>
    </xf>
    <xf numFmtId="0" fontId="21" fillId="0" borderId="0" xfId="569" applyAlignment="1">
      <alignment vertical="top" wrapText="1"/>
    </xf>
    <xf numFmtId="4" fontId="39" fillId="0" borderId="0" xfId="0" applyNumberFormat="1" applyFont="1" applyAlignment="1">
      <alignment horizontal="left" vertical="top" wrapText="1"/>
    </xf>
    <xf numFmtId="0" fontId="28" fillId="0" borderId="4" xfId="0" applyFont="1" applyBorder="1" applyAlignment="1">
      <alignment horizontal="left" vertical="top"/>
    </xf>
    <xf numFmtId="0" fontId="39" fillId="0" borderId="0" xfId="569" applyFont="1" applyAlignment="1">
      <alignment horizontal="left" vertical="top" wrapText="1"/>
    </xf>
    <xf numFmtId="0" fontId="21" fillId="0" borderId="27" xfId="569" applyBorder="1" applyAlignment="1">
      <alignment horizontal="left"/>
    </xf>
    <xf numFmtId="0" fontId="28" fillId="0" borderId="0" xfId="569" applyFont="1" applyAlignment="1">
      <alignment horizontal="center"/>
    </xf>
    <xf numFmtId="0" fontId="22" fillId="0" borderId="0" xfId="244" applyNumberFormat="1" applyFill="1" applyAlignment="1" applyProtection="1">
      <alignment horizontal="left"/>
    </xf>
    <xf numFmtId="0" fontId="39" fillId="0" borderId="0" xfId="569" applyFont="1" applyAlignment="1">
      <alignment horizontal="left" wrapText="1"/>
    </xf>
    <xf numFmtId="0" fontId="39" fillId="0" borderId="0" xfId="569" applyFont="1" applyAlignment="1">
      <alignment horizontal="center" wrapText="1"/>
    </xf>
    <xf numFmtId="49" fontId="21" fillId="0" borderId="0" xfId="1192" applyNumberFormat="1" applyAlignment="1">
      <alignment horizontal="left" vertical="top" wrapText="1"/>
    </xf>
    <xf numFmtId="0" fontId="21" fillId="0" borderId="0" xfId="569" applyAlignment="1">
      <alignment horizontal="left" vertical="center" wrapText="1"/>
    </xf>
    <xf numFmtId="0" fontId="28" fillId="0" borderId="0" xfId="0" applyFont="1" applyAlignment="1">
      <alignment horizontal="left" vertical="top"/>
    </xf>
    <xf numFmtId="0" fontId="28" fillId="0" borderId="0" xfId="569" applyFont="1" applyAlignment="1">
      <alignment horizontal="left"/>
    </xf>
    <xf numFmtId="0" fontId="39" fillId="0" borderId="0" xfId="1192" applyFont="1" applyAlignment="1">
      <alignment horizontal="left"/>
    </xf>
    <xf numFmtId="0" fontId="22" fillId="0" borderId="0" xfId="244" applyAlignment="1" applyProtection="1">
      <alignment horizontal="left" vertical="top" wrapText="1"/>
    </xf>
    <xf numFmtId="0" fontId="39" fillId="0" borderId="0" xfId="569" applyFont="1" applyAlignment="1">
      <alignment horizontal="center"/>
    </xf>
    <xf numFmtId="0" fontId="62" fillId="2" borderId="3" xfId="0" applyFont="1" applyFill="1" applyBorder="1" applyAlignment="1">
      <alignment horizontal="center" vertical="top"/>
    </xf>
    <xf numFmtId="0" fontId="62" fillId="2" borderId="4" xfId="0" applyFont="1" applyFill="1" applyBorder="1" applyAlignment="1">
      <alignment horizontal="center" vertical="top"/>
    </xf>
    <xf numFmtId="0" fontId="62" fillId="2" borderId="5" xfId="0" applyFont="1" applyFill="1" applyBorder="1" applyAlignment="1">
      <alignment horizontal="center" vertical="top"/>
    </xf>
    <xf numFmtId="0" fontId="30" fillId="0" borderId="6" xfId="0" applyFont="1" applyBorder="1" applyAlignment="1">
      <alignment vertical="top" wrapText="1"/>
    </xf>
    <xf numFmtId="177" fontId="30" fillId="5" borderId="6" xfId="0" applyNumberFormat="1" applyFont="1" applyFill="1" applyBorder="1" applyAlignment="1" applyProtection="1">
      <alignment horizontal="left" vertical="top" wrapText="1"/>
      <protection locked="0"/>
    </xf>
    <xf numFmtId="0" fontId="30" fillId="0" borderId="2" xfId="0" applyFont="1" applyBorder="1" applyAlignment="1">
      <alignment vertical="top" wrapText="1"/>
    </xf>
    <xf numFmtId="0" fontId="57" fillId="0" borderId="0" xfId="0" applyFont="1" applyAlignment="1">
      <alignment vertical="top" wrapText="1"/>
    </xf>
    <xf numFmtId="0" fontId="30" fillId="0" borderId="2" xfId="0" applyFont="1" applyBorder="1" applyAlignment="1">
      <alignment horizontal="left" vertical="top" wrapText="1"/>
    </xf>
    <xf numFmtId="0" fontId="58" fillId="0" borderId="0" xfId="0" applyFont="1" applyAlignment="1">
      <alignment vertical="top" wrapText="1"/>
    </xf>
    <xf numFmtId="0" fontId="30" fillId="0" borderId="0" xfId="0" applyFont="1" applyAlignment="1">
      <alignment vertical="top" wrapText="1"/>
    </xf>
    <xf numFmtId="0" fontId="30" fillId="0" borderId="6" xfId="0" applyFont="1" applyBorder="1" applyAlignment="1">
      <alignment horizontal="right" vertical="top" wrapText="1"/>
    </xf>
    <xf numFmtId="0" fontId="58" fillId="0" borderId="0" xfId="569" applyFont="1" applyAlignment="1">
      <alignment vertical="top" wrapText="1"/>
    </xf>
    <xf numFmtId="0" fontId="21" fillId="0" borderId="0" xfId="569" applyAlignment="1">
      <alignment horizontal="right" vertical="top" wrapText="1"/>
    </xf>
    <xf numFmtId="0" fontId="27" fillId="3" borderId="3" xfId="0" applyFont="1" applyFill="1" applyBorder="1" applyAlignment="1">
      <alignment horizontal="left" vertical="top"/>
    </xf>
    <xf numFmtId="0" fontId="27" fillId="3" borderId="4" xfId="0" applyFont="1" applyFill="1" applyBorder="1" applyAlignment="1">
      <alignment horizontal="left" vertical="top"/>
    </xf>
    <xf numFmtId="0" fontId="27" fillId="3" borderId="5" xfId="0" applyFont="1" applyFill="1" applyBorder="1" applyAlignment="1">
      <alignment horizontal="left" vertical="top"/>
    </xf>
    <xf numFmtId="0" fontId="5" fillId="45" borderId="3" xfId="8736" applyFill="1" applyBorder="1" applyAlignment="1">
      <alignment horizontal="center"/>
    </xf>
    <xf numFmtId="0" fontId="5" fillId="45" borderId="4" xfId="8736" applyFill="1" applyBorder="1" applyAlignment="1">
      <alignment horizontal="center"/>
    </xf>
    <xf numFmtId="0" fontId="5" fillId="45" borderId="5" xfId="8736" applyFill="1" applyBorder="1" applyAlignment="1">
      <alignment horizontal="center"/>
    </xf>
    <xf numFmtId="0" fontId="172" fillId="44" borderId="80" xfId="8736" applyFont="1" applyFill="1" applyBorder="1" applyAlignment="1">
      <alignment horizontal="left"/>
    </xf>
    <xf numFmtId="0" fontId="172" fillId="44" borderId="79" xfId="8736" applyFont="1" applyFill="1" applyBorder="1" applyAlignment="1">
      <alignment horizontal="left"/>
    </xf>
    <xf numFmtId="0" fontId="172" fillId="44" borderId="78" xfId="8736" applyFont="1" applyFill="1" applyBorder="1" applyAlignment="1">
      <alignment horizontal="left"/>
    </xf>
    <xf numFmtId="0" fontId="173" fillId="45" borderId="11" xfId="8736" applyFont="1" applyFill="1" applyBorder="1" applyAlignment="1">
      <alignment horizontal="right"/>
    </xf>
    <xf numFmtId="1" fontId="172" fillId="48" borderId="11" xfId="8736" applyNumberFormat="1" applyFont="1" applyFill="1" applyBorder="1" applyAlignment="1" applyProtection="1">
      <alignment horizontal="center"/>
      <protection locked="0"/>
    </xf>
    <xf numFmtId="0" fontId="184" fillId="51" borderId="65" xfId="8736" applyFont="1" applyFill="1" applyBorder="1" applyAlignment="1">
      <alignment horizontal="center"/>
    </xf>
    <xf numFmtId="0" fontId="184" fillId="51" borderId="29" xfId="8736" applyFont="1" applyFill="1" applyBorder="1" applyAlignment="1">
      <alignment horizontal="center"/>
    </xf>
    <xf numFmtId="0" fontId="184" fillId="51" borderId="31" xfId="8736" applyFont="1" applyFill="1" applyBorder="1" applyAlignment="1">
      <alignment horizontal="center"/>
    </xf>
    <xf numFmtId="0" fontId="169" fillId="48" borderId="66" xfId="8736" applyFont="1" applyFill="1" applyBorder="1" applyAlignment="1">
      <alignment horizontal="center"/>
    </xf>
    <xf numFmtId="0" fontId="169" fillId="48" borderId="0" xfId="8736" applyFont="1" applyFill="1" applyAlignment="1">
      <alignment horizontal="center"/>
    </xf>
    <xf numFmtId="0" fontId="169" fillId="48" borderId="41" xfId="8736" applyFont="1" applyFill="1" applyBorder="1" applyAlignment="1">
      <alignment horizontal="center"/>
    </xf>
    <xf numFmtId="0" fontId="169" fillId="45" borderId="3" xfId="8736" applyFont="1" applyFill="1" applyBorder="1" applyAlignment="1">
      <alignment horizontal="center"/>
    </xf>
    <xf numFmtId="0" fontId="169" fillId="45" borderId="4" xfId="8736" applyFont="1" applyFill="1" applyBorder="1" applyAlignment="1">
      <alignment horizontal="center"/>
    </xf>
    <xf numFmtId="0" fontId="169" fillId="45" borderId="5" xfId="8736" applyFont="1" applyFill="1" applyBorder="1" applyAlignment="1">
      <alignment horizontal="center"/>
    </xf>
    <xf numFmtId="0" fontId="179" fillId="45" borderId="11" xfId="8736" applyFont="1" applyFill="1" applyBorder="1" applyAlignment="1">
      <alignment horizontal="right"/>
    </xf>
    <xf numFmtId="14" fontId="172" fillId="48" borderId="11" xfId="8736" applyNumberFormat="1"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5" fillId="44" borderId="80" xfId="8736" applyFill="1" applyBorder="1" applyAlignment="1">
      <alignment horizontal="center"/>
    </xf>
    <xf numFmtId="0" fontId="5" fillId="44" borderId="79" xfId="8736" applyFill="1" applyBorder="1" applyAlignment="1">
      <alignment horizontal="center"/>
    </xf>
    <xf numFmtId="0" fontId="5" fillId="44" borderId="78" xfId="8736" applyFill="1" applyBorder="1" applyAlignment="1">
      <alignment horizontal="center"/>
    </xf>
    <xf numFmtId="0" fontId="106" fillId="45" borderId="80" xfId="8736" applyFont="1" applyFill="1" applyBorder="1" applyAlignment="1">
      <alignment horizontal="center"/>
    </xf>
    <xf numFmtId="0" fontId="106" fillId="45" borderId="79" xfId="8736" applyFont="1" applyFill="1" applyBorder="1" applyAlignment="1">
      <alignment horizontal="center"/>
    </xf>
    <xf numFmtId="0" fontId="106" fillId="45" borderId="78" xfId="8736" applyFont="1" applyFill="1" applyBorder="1" applyAlignment="1">
      <alignment horizontal="center"/>
    </xf>
    <xf numFmtId="0" fontId="172" fillId="48" borderId="80" xfId="8736" applyFont="1" applyFill="1" applyBorder="1" applyAlignment="1" applyProtection="1">
      <alignment horizontal="center"/>
      <protection locked="0"/>
    </xf>
    <xf numFmtId="0" fontId="172" fillId="48" borderId="79" xfId="8736" applyFont="1" applyFill="1" applyBorder="1" applyAlignment="1" applyProtection="1">
      <alignment horizontal="center"/>
      <protection locked="0"/>
    </xf>
    <xf numFmtId="0" fontId="172" fillId="48" borderId="78" xfId="8736" applyFont="1" applyFill="1" applyBorder="1" applyAlignment="1" applyProtection="1">
      <alignment horizontal="center"/>
      <protection locked="0"/>
    </xf>
    <xf numFmtId="0" fontId="176" fillId="45" borderId="11" xfId="8736" applyFont="1" applyFill="1" applyBorder="1" applyAlignment="1">
      <alignment horizontal="right"/>
    </xf>
    <xf numFmtId="1" fontId="5" fillId="44" borderId="11" xfId="8736" applyNumberFormat="1" applyFill="1" applyBorder="1" applyAlignment="1">
      <alignment horizontal="center"/>
    </xf>
    <xf numFmtId="0" fontId="5" fillId="44" borderId="11" xfId="8736" applyFill="1" applyBorder="1" applyAlignment="1">
      <alignment horizontal="center"/>
    </xf>
    <xf numFmtId="0" fontId="173" fillId="45" borderId="11" xfId="8736" applyFont="1" applyFill="1" applyBorder="1" applyAlignment="1">
      <alignment horizontal="right" wrapText="1"/>
    </xf>
    <xf numFmtId="14" fontId="172" fillId="48" borderId="11" xfId="8736" applyNumberFormat="1" applyFont="1" applyFill="1" applyBorder="1" applyAlignment="1" applyProtection="1">
      <alignment horizontal="center" vertical="center"/>
      <protection locked="0"/>
    </xf>
    <xf numFmtId="0" fontId="172" fillId="48" borderId="11" xfId="8736" applyFont="1" applyFill="1" applyBorder="1" applyAlignment="1" applyProtection="1">
      <alignment horizontal="center" vertical="center"/>
      <protection locked="0"/>
    </xf>
    <xf numFmtId="168" fontId="177" fillId="44" borderId="11" xfId="8737" applyNumberFormat="1" applyFont="1" applyFill="1" applyBorder="1" applyAlignment="1" applyProtection="1">
      <alignment horizontal="left"/>
    </xf>
    <xf numFmtId="0" fontId="106" fillId="45" borderId="80" xfId="8736" applyFont="1" applyFill="1" applyBorder="1" applyAlignment="1">
      <alignment horizontal="right"/>
    </xf>
    <xf numFmtId="0" fontId="106" fillId="45" borderId="79" xfId="8736" applyFont="1" applyFill="1" applyBorder="1" applyAlignment="1">
      <alignment horizontal="right"/>
    </xf>
    <xf numFmtId="0" fontId="106" fillId="45" borderId="103" xfId="8736" applyFont="1" applyFill="1" applyBorder="1" applyAlignment="1">
      <alignment horizontal="right"/>
    </xf>
    <xf numFmtId="0" fontId="5" fillId="44" borderId="84" xfId="8736" applyFill="1" applyBorder="1" applyAlignment="1">
      <alignment horizontal="center"/>
    </xf>
    <xf numFmtId="0" fontId="5" fillId="44" borderId="102" xfId="8736" applyFill="1" applyBorder="1" applyAlignment="1">
      <alignment horizontal="center"/>
    </xf>
    <xf numFmtId="0" fontId="169" fillId="45" borderId="93" xfId="8736" applyFont="1" applyFill="1" applyBorder="1" applyAlignment="1">
      <alignment horizontal="center"/>
    </xf>
    <xf numFmtId="0" fontId="169" fillId="45" borderId="92" xfId="8736" applyFont="1" applyFill="1" applyBorder="1" applyAlignment="1">
      <alignment horizontal="center"/>
    </xf>
    <xf numFmtId="0" fontId="169" fillId="45" borderId="91" xfId="8736" applyFont="1" applyFill="1" applyBorder="1" applyAlignment="1">
      <alignment horizontal="center"/>
    </xf>
    <xf numFmtId="0" fontId="176" fillId="45" borderId="97" xfId="8736" applyFont="1" applyFill="1" applyBorder="1" applyAlignment="1">
      <alignment horizontal="center"/>
    </xf>
    <xf numFmtId="0" fontId="176" fillId="45" borderId="2" xfId="8736" applyFont="1" applyFill="1" applyBorder="1" applyAlignment="1">
      <alignment horizontal="center"/>
    </xf>
    <xf numFmtId="0" fontId="176" fillId="45" borderId="7" xfId="8736" applyFont="1" applyFill="1" applyBorder="1" applyAlignment="1">
      <alignment horizontal="center"/>
    </xf>
    <xf numFmtId="0" fontId="176" fillId="45" borderId="3" xfId="8736" applyFont="1" applyFill="1" applyBorder="1" applyAlignment="1">
      <alignment horizontal="center"/>
    </xf>
    <xf numFmtId="0" fontId="176" fillId="45" borderId="4" xfId="8736" applyFont="1" applyFill="1" applyBorder="1" applyAlignment="1">
      <alignment horizontal="center"/>
    </xf>
    <xf numFmtId="0" fontId="176" fillId="45" borderId="5" xfId="8736" applyFont="1" applyFill="1" applyBorder="1" applyAlignment="1">
      <alignment horizontal="center"/>
    </xf>
    <xf numFmtId="0" fontId="176" fillId="45" borderId="81" xfId="8736" applyFont="1" applyFill="1" applyBorder="1" applyAlignment="1">
      <alignment horizontal="center"/>
    </xf>
    <xf numFmtId="9" fontId="175" fillId="48" borderId="90" xfId="8736" applyNumberFormat="1" applyFont="1" applyFill="1" applyBorder="1" applyAlignment="1" applyProtection="1">
      <alignment horizontal="center"/>
      <protection locked="0"/>
    </xf>
    <xf numFmtId="9" fontId="175" fillId="48" borderId="4" xfId="8736" applyNumberFormat="1" applyFont="1" applyFill="1" applyBorder="1" applyAlignment="1" applyProtection="1">
      <alignment horizontal="center"/>
      <protection locked="0"/>
    </xf>
    <xf numFmtId="9" fontId="175" fillId="48" borderId="5" xfId="8736" applyNumberFormat="1" applyFont="1" applyFill="1" applyBorder="1" applyAlignment="1" applyProtection="1">
      <alignment horizontal="center"/>
      <protection locked="0"/>
    </xf>
    <xf numFmtId="0" fontId="175" fillId="44" borderId="3" xfId="8736" applyFont="1" applyFill="1" applyBorder="1" applyAlignment="1">
      <alignment horizontal="center"/>
    </xf>
    <xf numFmtId="0" fontId="175" fillId="44" borderId="4" xfId="8736" applyFont="1" applyFill="1" applyBorder="1" applyAlignment="1">
      <alignment horizontal="center"/>
    </xf>
    <xf numFmtId="0" fontId="175" fillId="44" borderId="5" xfId="8736" applyFont="1" applyFill="1" applyBorder="1" applyAlignment="1">
      <alignment horizontal="center"/>
    </xf>
    <xf numFmtId="10" fontId="176" fillId="44" borderId="3" xfId="8736" applyNumberFormat="1" applyFont="1" applyFill="1" applyBorder="1" applyAlignment="1">
      <alignment horizontal="center"/>
    </xf>
    <xf numFmtId="10" fontId="176" fillId="44" borderId="4" xfId="8736" applyNumberFormat="1" applyFont="1" applyFill="1" applyBorder="1" applyAlignment="1">
      <alignment horizontal="center"/>
    </xf>
    <xf numFmtId="10" fontId="176" fillId="44" borderId="81" xfId="8736" applyNumberFormat="1" applyFont="1" applyFill="1" applyBorder="1" applyAlignment="1">
      <alignment horizontal="center"/>
    </xf>
    <xf numFmtId="0" fontId="175" fillId="48" borderId="3" xfId="8736" applyFont="1" applyFill="1" applyBorder="1" applyAlignment="1" applyProtection="1">
      <alignment horizontal="center"/>
      <protection locked="0"/>
    </xf>
    <xf numFmtId="0" fontId="175" fillId="48" borderId="4" xfId="8736" applyFont="1" applyFill="1" applyBorder="1" applyAlignment="1" applyProtection="1">
      <alignment horizontal="center"/>
      <protection locked="0"/>
    </xf>
    <xf numFmtId="0" fontId="175" fillId="48" borderId="5" xfId="8736" applyFont="1" applyFill="1" applyBorder="1" applyAlignment="1" applyProtection="1">
      <alignment horizontal="center"/>
      <protection locked="0"/>
    </xf>
    <xf numFmtId="0" fontId="176" fillId="44" borderId="87" xfId="8736" applyFont="1" applyFill="1" applyBorder="1" applyAlignment="1">
      <alignment horizontal="center"/>
    </xf>
    <xf numFmtId="0" fontId="176" fillId="44" borderId="86" xfId="8736" applyFont="1" applyFill="1" applyBorder="1" applyAlignment="1">
      <alignment horizontal="center"/>
    </xf>
    <xf numFmtId="0" fontId="176" fillId="44" borderId="95" xfId="8736" applyFont="1" applyFill="1" applyBorder="1" applyAlignment="1">
      <alignment horizontal="center"/>
    </xf>
    <xf numFmtId="0" fontId="175" fillId="44" borderId="94" xfId="8736" applyFont="1" applyFill="1" applyBorder="1" applyAlignment="1">
      <alignment horizontal="center"/>
    </xf>
    <xf numFmtId="0" fontId="175" fillId="44" borderId="86" xfId="8736" applyFont="1" applyFill="1" applyBorder="1" applyAlignment="1">
      <alignment horizontal="center"/>
    </xf>
    <xf numFmtId="0" fontId="175" fillId="44" borderId="95" xfId="8736" applyFont="1" applyFill="1" applyBorder="1" applyAlignment="1">
      <alignment horizontal="center"/>
    </xf>
    <xf numFmtId="10" fontId="176" fillId="44" borderId="94" xfId="8736" applyNumberFormat="1" applyFont="1" applyFill="1" applyBorder="1" applyAlignment="1">
      <alignment horizontal="center"/>
    </xf>
    <xf numFmtId="10" fontId="176" fillId="44" borderId="86" xfId="8736" applyNumberFormat="1" applyFont="1" applyFill="1" applyBorder="1" applyAlignment="1">
      <alignment horizontal="center"/>
    </xf>
    <xf numFmtId="10" fontId="176" fillId="44" borderId="85" xfId="8736" applyNumberFormat="1" applyFont="1" applyFill="1" applyBorder="1" applyAlignment="1">
      <alignment horizontal="center"/>
    </xf>
    <xf numFmtId="0" fontId="176" fillId="44" borderId="101" xfId="8736" applyFont="1" applyFill="1" applyBorder="1" applyAlignment="1">
      <alignment horizontal="center"/>
    </xf>
    <xf numFmtId="0" fontId="176" fillId="44" borderId="42" xfId="8736" applyFont="1" applyFill="1" applyBorder="1" applyAlignment="1">
      <alignment horizontal="center"/>
    </xf>
    <xf numFmtId="0" fontId="176" fillId="44" borderId="96" xfId="8736" applyFont="1" applyFill="1" applyBorder="1" applyAlignment="1">
      <alignment horizontal="center"/>
    </xf>
    <xf numFmtId="9" fontId="176" fillId="44" borderId="101" xfId="1022" applyFont="1" applyFill="1" applyBorder="1" applyAlignment="1">
      <alignment horizontal="center"/>
    </xf>
    <xf numFmtId="9" fontId="176" fillId="44" borderId="42" xfId="1022" applyFont="1" applyFill="1" applyBorder="1" applyAlignment="1">
      <alignment horizontal="center"/>
    </xf>
    <xf numFmtId="9" fontId="176" fillId="44" borderId="44" xfId="1022" applyFont="1" applyFill="1" applyBorder="1" applyAlignment="1">
      <alignment horizontal="center"/>
    </xf>
    <xf numFmtId="0" fontId="169" fillId="45" borderId="80" xfId="8736" applyFont="1" applyFill="1" applyBorder="1" applyAlignment="1">
      <alignment horizontal="center"/>
    </xf>
    <xf numFmtId="0" fontId="169" fillId="45" borderId="79" xfId="8736" applyFont="1" applyFill="1" applyBorder="1" applyAlignment="1">
      <alignment horizontal="center"/>
    </xf>
    <xf numFmtId="0" fontId="169" fillId="45" borderId="78" xfId="8736" applyFont="1" applyFill="1" applyBorder="1" applyAlignment="1">
      <alignment horizontal="center"/>
    </xf>
    <xf numFmtId="0" fontId="168" fillId="45" borderId="98" xfId="8736" applyFont="1" applyFill="1" applyBorder="1" applyAlignment="1">
      <alignment horizontal="center" vertical="center" wrapText="1"/>
    </xf>
    <xf numFmtId="0" fontId="168" fillId="45" borderId="13" xfId="8736" applyFont="1" applyFill="1" applyBorder="1" applyAlignment="1">
      <alignment horizontal="center" vertical="center"/>
    </xf>
    <xf numFmtId="0" fontId="168" fillId="45" borderId="72" xfId="8736" applyFont="1" applyFill="1" applyBorder="1" applyAlignment="1">
      <alignment horizontal="center" vertical="center"/>
    </xf>
    <xf numFmtId="0" fontId="168" fillId="45" borderId="11" xfId="8736" applyFont="1" applyFill="1" applyBorder="1" applyAlignment="1">
      <alignment horizontal="center" vertical="center"/>
    </xf>
    <xf numFmtId="0" fontId="176" fillId="45" borderId="13" xfId="8736" applyFont="1" applyFill="1" applyBorder="1" applyAlignment="1">
      <alignment horizontal="center" vertical="center" wrapText="1"/>
    </xf>
    <xf numFmtId="0" fontId="176" fillId="45" borderId="13" xfId="8736" applyFont="1" applyFill="1" applyBorder="1" applyAlignment="1">
      <alignment horizontal="center" vertical="center"/>
    </xf>
    <xf numFmtId="0" fontId="176" fillId="45" borderId="11" xfId="8736" applyFont="1" applyFill="1" applyBorder="1" applyAlignment="1">
      <alignment horizontal="center" vertical="center"/>
    </xf>
    <xf numFmtId="0" fontId="176" fillId="45" borderId="9" xfId="8736" applyFont="1" applyFill="1" applyBorder="1" applyAlignment="1">
      <alignment horizontal="center" vertical="center"/>
    </xf>
    <xf numFmtId="0" fontId="176" fillId="45" borderId="3" xfId="8736" applyFont="1" applyFill="1" applyBorder="1" applyAlignment="1">
      <alignment horizontal="center" vertical="center"/>
    </xf>
    <xf numFmtId="0" fontId="168" fillId="45" borderId="80" xfId="8736" applyFont="1" applyFill="1" applyBorder="1" applyAlignment="1">
      <alignment horizontal="center"/>
    </xf>
    <xf numFmtId="0" fontId="168" fillId="45" borderId="79" xfId="8736" applyFont="1" applyFill="1" applyBorder="1" applyAlignment="1">
      <alignment horizontal="center"/>
    </xf>
    <xf numFmtId="0" fontId="168" fillId="45" borderId="78" xfId="8736" applyFont="1" applyFill="1" applyBorder="1" applyAlignment="1">
      <alignment horizontal="center"/>
    </xf>
    <xf numFmtId="0" fontId="168" fillId="45" borderId="65" xfId="8736" applyFont="1" applyFill="1" applyBorder="1" applyAlignment="1">
      <alignment horizontal="center" vertical="center" wrapText="1"/>
    </xf>
    <xf numFmtId="0" fontId="168" fillId="45" borderId="29" xfId="8736" applyFont="1" applyFill="1" applyBorder="1" applyAlignment="1">
      <alignment horizontal="center" vertical="center" wrapText="1"/>
    </xf>
    <xf numFmtId="0" fontId="168" fillId="45" borderId="31" xfId="8736" applyFont="1" applyFill="1" applyBorder="1" applyAlignment="1">
      <alignment horizontal="center" vertical="center" wrapText="1"/>
    </xf>
    <xf numFmtId="0" fontId="168" fillId="45" borderId="73" xfId="8736" applyFont="1" applyFill="1" applyBorder="1" applyAlignment="1">
      <alignment horizontal="center" vertical="center" wrapText="1"/>
    </xf>
    <xf numFmtId="0" fontId="168" fillId="45" borderId="42" xfId="8736" applyFont="1" applyFill="1" applyBorder="1" applyAlignment="1">
      <alignment horizontal="center" vertical="center" wrapText="1"/>
    </xf>
    <xf numFmtId="0" fontId="168" fillId="45" borderId="44" xfId="8736" applyFont="1" applyFill="1" applyBorder="1" applyAlignment="1">
      <alignment horizontal="center" vertical="center" wrapText="1"/>
    </xf>
    <xf numFmtId="9" fontId="176" fillId="48" borderId="13" xfId="8736" applyNumberFormat="1" applyFont="1" applyFill="1" applyBorder="1" applyAlignment="1" applyProtection="1">
      <alignment horizontal="center"/>
      <protection locked="0"/>
    </xf>
    <xf numFmtId="0" fontId="176" fillId="44" borderId="73" xfId="8736" applyFont="1" applyFill="1" applyBorder="1" applyAlignment="1">
      <alignment horizontal="center"/>
    </xf>
    <xf numFmtId="0" fontId="168" fillId="44" borderId="9" xfId="8736" applyFont="1" applyFill="1" applyBorder="1" applyAlignment="1">
      <alignment horizontal="center"/>
    </xf>
    <xf numFmtId="0" fontId="168" fillId="44" borderId="6" xfId="8736" applyFont="1" applyFill="1" applyBorder="1" applyAlignment="1">
      <alignment horizontal="center"/>
    </xf>
    <xf numFmtId="0" fontId="168" fillId="44" borderId="82" xfId="8736" applyFont="1" applyFill="1" applyBorder="1" applyAlignment="1">
      <alignment horizontal="center"/>
    </xf>
    <xf numFmtId="9" fontId="176" fillId="48" borderId="9" xfId="8736" applyNumberFormat="1" applyFont="1" applyFill="1" applyBorder="1" applyAlignment="1" applyProtection="1">
      <alignment horizontal="center"/>
      <protection locked="0"/>
    </xf>
    <xf numFmtId="9" fontId="176" fillId="48" borderId="6" xfId="8736" applyNumberFormat="1" applyFont="1" applyFill="1" applyBorder="1" applyAlignment="1" applyProtection="1">
      <alignment horizontal="center"/>
      <protection locked="0"/>
    </xf>
    <xf numFmtId="9" fontId="176" fillId="48" borderId="10" xfId="8736" applyNumberFormat="1" applyFont="1" applyFill="1" applyBorder="1" applyAlignment="1" applyProtection="1">
      <alignment horizontal="center"/>
      <protection locked="0"/>
    </xf>
    <xf numFmtId="9" fontId="168" fillId="48" borderId="9" xfId="8736" applyNumberFormat="1" applyFont="1" applyFill="1" applyBorder="1" applyAlignment="1" applyProtection="1">
      <alignment horizontal="center"/>
      <protection locked="0"/>
    </xf>
    <xf numFmtId="9" fontId="168" fillId="48" borderId="6" xfId="8736" applyNumberFormat="1" applyFont="1" applyFill="1" applyBorder="1" applyAlignment="1" applyProtection="1">
      <alignment horizontal="center"/>
      <protection locked="0"/>
    </xf>
    <xf numFmtId="9" fontId="168" fillId="48" borderId="10" xfId="8736" applyNumberFormat="1" applyFont="1" applyFill="1" applyBorder="1" applyAlignment="1" applyProtection="1">
      <alignment horizontal="center"/>
      <protection locked="0"/>
    </xf>
    <xf numFmtId="0" fontId="168" fillId="44" borderId="10" xfId="8736" applyFont="1" applyFill="1" applyBorder="1" applyAlignment="1">
      <alignment horizontal="center"/>
    </xf>
    <xf numFmtId="1" fontId="180" fillId="48" borderId="3" xfId="8736" applyNumberFormat="1" applyFont="1" applyFill="1" applyBorder="1" applyAlignment="1" applyProtection="1">
      <alignment horizontal="center"/>
      <protection locked="0"/>
    </xf>
    <xf numFmtId="1" fontId="180" fillId="48" borderId="4" xfId="8736" applyNumberFormat="1" applyFont="1" applyFill="1" applyBorder="1" applyAlignment="1" applyProtection="1">
      <alignment horizontal="center"/>
      <protection locked="0"/>
    </xf>
    <xf numFmtId="1" fontId="180" fillId="48" borderId="5" xfId="8736" applyNumberFormat="1" applyFont="1" applyFill="1" applyBorder="1" applyAlignment="1" applyProtection="1">
      <alignment horizontal="center"/>
      <protection locked="0"/>
    </xf>
    <xf numFmtId="1" fontId="168" fillId="44" borderId="3" xfId="8736" applyNumberFormat="1" applyFont="1" applyFill="1" applyBorder="1" applyAlignment="1">
      <alignment horizontal="center"/>
    </xf>
    <xf numFmtId="1" fontId="168" fillId="44" borderId="4" xfId="8736" applyNumberFormat="1" applyFont="1" applyFill="1" applyBorder="1" applyAlignment="1">
      <alignment horizontal="center"/>
    </xf>
    <xf numFmtId="1" fontId="168" fillId="44" borderId="5" xfId="8736" applyNumberFormat="1" applyFont="1" applyFill="1" applyBorder="1" applyAlignment="1">
      <alignment horizontal="center"/>
    </xf>
    <xf numFmtId="9" fontId="168" fillId="44" borderId="3" xfId="8738" applyFont="1" applyFill="1" applyBorder="1" applyAlignment="1">
      <alignment horizontal="center"/>
    </xf>
    <xf numFmtId="9" fontId="168" fillId="44" borderId="4" xfId="8738" applyFont="1" applyFill="1" applyBorder="1" applyAlignment="1">
      <alignment horizontal="center"/>
    </xf>
    <xf numFmtId="9" fontId="168" fillId="44" borderId="81" xfId="8738" applyFont="1" applyFill="1" applyBorder="1" applyAlignment="1">
      <alignment horizontal="center"/>
    </xf>
    <xf numFmtId="0" fontId="177" fillId="48" borderId="72" xfId="8736" applyFont="1" applyFill="1" applyBorder="1" applyAlignment="1" applyProtection="1">
      <alignment horizontal="right"/>
      <protection locked="0"/>
    </xf>
    <xf numFmtId="0" fontId="177" fillId="48" borderId="11" xfId="8736" applyFont="1" applyFill="1" applyBorder="1" applyAlignment="1" applyProtection="1">
      <alignment horizontal="right"/>
      <protection locked="0"/>
    </xf>
    <xf numFmtId="0" fontId="180" fillId="48" borderId="11" xfId="8736" applyFont="1" applyFill="1" applyBorder="1" applyAlignment="1" applyProtection="1">
      <alignment horizontal="center"/>
      <protection locked="0"/>
    </xf>
    <xf numFmtId="1" fontId="180" fillId="48" borderId="11" xfId="8736" applyNumberFormat="1" applyFont="1" applyFill="1" applyBorder="1" applyAlignment="1" applyProtection="1">
      <alignment horizontal="center"/>
      <protection locked="0"/>
    </xf>
    <xf numFmtId="0" fontId="175" fillId="48" borderId="72" xfId="8736" applyFont="1" applyFill="1" applyBorder="1" applyAlignment="1" applyProtection="1">
      <alignment horizontal="right"/>
      <protection locked="0"/>
    </xf>
    <xf numFmtId="0" fontId="175" fillId="48" borderId="11" xfId="8736" applyFont="1" applyFill="1" applyBorder="1" applyAlignment="1" applyProtection="1">
      <alignment horizontal="right"/>
      <protection locked="0"/>
    </xf>
    <xf numFmtId="0" fontId="175" fillId="48" borderId="69" xfId="8736" applyFont="1" applyFill="1" applyBorder="1" applyAlignment="1" applyProtection="1">
      <alignment horizontal="right"/>
      <protection locked="0"/>
    </xf>
    <xf numFmtId="0" fontId="175" fillId="48" borderId="70" xfId="8736" applyFont="1" applyFill="1" applyBorder="1" applyAlignment="1" applyProtection="1">
      <alignment horizontal="right"/>
      <protection locked="0"/>
    </xf>
    <xf numFmtId="0" fontId="180" fillId="48" borderId="70" xfId="8736" applyFont="1" applyFill="1" applyBorder="1" applyAlignment="1" applyProtection="1">
      <alignment horizontal="center"/>
      <protection locked="0"/>
    </xf>
    <xf numFmtId="1" fontId="180" fillId="48" borderId="70" xfId="8736" applyNumberFormat="1" applyFont="1" applyFill="1" applyBorder="1" applyAlignment="1" applyProtection="1">
      <alignment horizontal="center"/>
      <protection locked="0"/>
    </xf>
    <xf numFmtId="9" fontId="168" fillId="44" borderId="94" xfId="8738" applyFont="1" applyFill="1" applyBorder="1" applyAlignment="1">
      <alignment horizontal="center"/>
    </xf>
    <xf numFmtId="9" fontId="168" fillId="44" borderId="86" xfId="8738" applyFont="1" applyFill="1" applyBorder="1" applyAlignment="1">
      <alignment horizontal="center"/>
    </xf>
    <xf numFmtId="9" fontId="168" fillId="44" borderId="85" xfId="8738" applyFont="1" applyFill="1" applyBorder="1" applyAlignment="1">
      <alignment horizontal="center"/>
    </xf>
    <xf numFmtId="1" fontId="180" fillId="48" borderId="94" xfId="8736" applyNumberFormat="1" applyFont="1" applyFill="1" applyBorder="1" applyAlignment="1" applyProtection="1">
      <alignment horizontal="center"/>
      <protection locked="0"/>
    </xf>
    <xf numFmtId="1" fontId="180" fillId="48" borderId="86" xfId="8736" applyNumberFormat="1" applyFont="1" applyFill="1" applyBorder="1" applyAlignment="1" applyProtection="1">
      <alignment horizontal="center"/>
      <protection locked="0"/>
    </xf>
    <xf numFmtId="1" fontId="180" fillId="48" borderId="95" xfId="8736" applyNumberFormat="1" applyFont="1" applyFill="1" applyBorder="1" applyAlignment="1" applyProtection="1">
      <alignment horizontal="center"/>
      <protection locked="0"/>
    </xf>
    <xf numFmtId="0" fontId="169" fillId="45" borderId="67" xfId="8736" applyFont="1" applyFill="1" applyBorder="1" applyAlignment="1">
      <alignment horizontal="center"/>
    </xf>
    <xf numFmtId="0" fontId="169" fillId="45" borderId="68" xfId="8736" applyFont="1" applyFill="1" applyBorder="1" applyAlignment="1">
      <alignment horizontal="center"/>
    </xf>
    <xf numFmtId="0" fontId="169" fillId="45" borderId="71" xfId="8736" applyFont="1" applyFill="1" applyBorder="1" applyAlignment="1">
      <alignment horizontal="center"/>
    </xf>
    <xf numFmtId="0" fontId="176" fillId="45" borderId="72" xfId="8736" applyFont="1" applyFill="1" applyBorder="1" applyAlignment="1">
      <alignment horizontal="center"/>
    </xf>
    <xf numFmtId="0" fontId="176" fillId="45" borderId="11" xfId="8736" applyFont="1" applyFill="1" applyBorder="1" applyAlignment="1">
      <alignment horizontal="center"/>
    </xf>
    <xf numFmtId="0" fontId="168" fillId="45" borderId="11" xfId="8736" applyFont="1" applyFill="1" applyBorder="1" applyAlignment="1">
      <alignment horizontal="center" vertical="center" wrapText="1"/>
    </xf>
    <xf numFmtId="0" fontId="168" fillId="45" borderId="76" xfId="8736" applyFont="1" applyFill="1" applyBorder="1" applyAlignment="1">
      <alignment horizontal="center" vertical="center" wrapText="1"/>
    </xf>
    <xf numFmtId="0" fontId="175" fillId="48" borderId="11" xfId="8736" applyFont="1" applyFill="1" applyBorder="1" applyAlignment="1" applyProtection="1">
      <alignment horizontal="center"/>
      <protection locked="0"/>
    </xf>
    <xf numFmtId="168" fontId="175" fillId="48" borderId="11" xfId="8737" applyNumberFormat="1" applyFont="1" applyFill="1" applyBorder="1" applyAlignment="1" applyProtection="1">
      <alignment horizontal="center"/>
      <protection locked="0"/>
    </xf>
    <xf numFmtId="1" fontId="175" fillId="48" borderId="11" xfId="8736" applyNumberFormat="1" applyFont="1" applyFill="1" applyBorder="1" applyAlignment="1" applyProtection="1">
      <alignment horizontal="center"/>
      <protection locked="0"/>
    </xf>
    <xf numFmtId="0" fontId="175" fillId="48" borderId="11" xfId="700" applyNumberFormat="1" applyFont="1" applyFill="1" applyBorder="1" applyAlignment="1" applyProtection="1">
      <alignment horizontal="left"/>
      <protection locked="0"/>
    </xf>
    <xf numFmtId="0" fontId="175" fillId="48" borderId="76" xfId="700" applyNumberFormat="1" applyFont="1" applyFill="1" applyBorder="1" applyAlignment="1" applyProtection="1">
      <alignment horizontal="left"/>
      <protection locked="0"/>
    </xf>
    <xf numFmtId="0" fontId="169" fillId="45" borderId="65" xfId="8736" applyFont="1" applyFill="1" applyBorder="1" applyAlignment="1">
      <alignment horizontal="center"/>
    </xf>
    <xf numFmtId="0" fontId="169" fillId="45" borderId="29" xfId="8736" applyFont="1" applyFill="1" applyBorder="1" applyAlignment="1">
      <alignment horizontal="center"/>
    </xf>
    <xf numFmtId="0" fontId="169" fillId="45" borderId="31" xfId="8736" applyFont="1" applyFill="1" applyBorder="1" applyAlignment="1">
      <alignment horizontal="center"/>
    </xf>
    <xf numFmtId="0" fontId="175" fillId="44" borderId="72" xfId="8736" applyFont="1" applyFill="1" applyBorder="1" applyAlignment="1" applyProtection="1">
      <alignment horizontal="right"/>
      <protection locked="0"/>
    </xf>
    <xf numFmtId="0" fontId="175" fillId="44" borderId="11" xfId="8736" applyFont="1" applyFill="1" applyBorder="1" applyAlignment="1" applyProtection="1">
      <alignment horizontal="right"/>
      <protection locked="0"/>
    </xf>
    <xf numFmtId="0" fontId="175" fillId="44" borderId="76" xfId="8736" applyFont="1" applyFill="1" applyBorder="1" applyAlignment="1" applyProtection="1">
      <alignment horizontal="right"/>
      <protection locked="0"/>
    </xf>
    <xf numFmtId="0" fontId="175" fillId="48" borderId="5" xfId="8736" applyFont="1" applyFill="1" applyBorder="1" applyAlignment="1" applyProtection="1">
      <alignment horizontal="left"/>
      <protection locked="0"/>
    </xf>
    <xf numFmtId="0" fontId="175" fillId="48" borderId="11" xfId="8736" applyFont="1" applyFill="1" applyBorder="1" applyAlignment="1" applyProtection="1">
      <alignment horizontal="left"/>
      <protection locked="0"/>
    </xf>
    <xf numFmtId="0" fontId="175" fillId="48" borderId="76" xfId="8736" applyFont="1" applyFill="1" applyBorder="1" applyAlignment="1" applyProtection="1">
      <alignment horizontal="left"/>
      <protection locked="0"/>
    </xf>
    <xf numFmtId="0" fontId="176" fillId="45" borderId="69" xfId="8736" applyFont="1" applyFill="1" applyBorder="1" applyAlignment="1">
      <alignment horizontal="center"/>
    </xf>
    <xf numFmtId="0" fontId="176" fillId="45" borderId="70" xfId="8736" applyFont="1" applyFill="1" applyBorder="1" applyAlignment="1">
      <alignment horizontal="center"/>
    </xf>
    <xf numFmtId="168" fontId="176" fillId="45" borderId="70" xfId="8737" applyNumberFormat="1" applyFont="1" applyFill="1" applyBorder="1" applyAlignment="1">
      <alignment horizontal="center"/>
    </xf>
    <xf numFmtId="1" fontId="176" fillId="45" borderId="70" xfId="8737" applyNumberFormat="1" applyFont="1" applyFill="1" applyBorder="1" applyAlignment="1">
      <alignment horizontal="center"/>
    </xf>
    <xf numFmtId="0" fontId="176" fillId="45" borderId="70" xfId="8737" applyNumberFormat="1" applyFont="1" applyFill="1" applyBorder="1" applyAlignment="1">
      <alignment horizontal="center"/>
    </xf>
    <xf numFmtId="0" fontId="176" fillId="45" borderId="77" xfId="8737" applyNumberFormat="1" applyFont="1" applyFill="1" applyBorder="1" applyAlignment="1">
      <alignment horizontal="center"/>
    </xf>
    <xf numFmtId="0" fontId="172" fillId="48" borderId="74" xfId="8736"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9" fillId="45" borderId="72" xfId="8736" applyFont="1" applyFill="1" applyBorder="1" applyAlignment="1">
      <alignment horizontal="center"/>
    </xf>
    <xf numFmtId="0" fontId="169" fillId="45" borderId="11" xfId="8736" applyFont="1" applyFill="1" applyBorder="1" applyAlignment="1">
      <alignment horizontal="center"/>
    </xf>
    <xf numFmtId="0" fontId="169" fillId="45" borderId="81" xfId="8736" applyFont="1" applyFill="1" applyBorder="1" applyAlignment="1">
      <alignment horizontal="center"/>
    </xf>
    <xf numFmtId="0" fontId="106" fillId="45" borderId="69" xfId="8736" applyFont="1" applyFill="1" applyBorder="1" applyAlignment="1">
      <alignment horizontal="center"/>
    </xf>
    <xf numFmtId="0" fontId="106" fillId="45" borderId="70" xfId="8736" applyFont="1" applyFill="1" applyBorder="1" applyAlignment="1">
      <alignment horizontal="center"/>
    </xf>
    <xf numFmtId="0" fontId="175" fillId="44" borderId="69" xfId="8736" applyFont="1" applyFill="1" applyBorder="1" applyAlignment="1" applyProtection="1">
      <alignment horizontal="right"/>
      <protection locked="0"/>
    </xf>
    <xf numFmtId="0" fontId="175" fillId="44" borderId="70" xfId="8736" applyFont="1" applyFill="1" applyBorder="1" applyAlignment="1" applyProtection="1">
      <alignment horizontal="right"/>
      <protection locked="0"/>
    </xf>
    <xf numFmtId="0" fontId="175" fillId="44" borderId="77" xfId="8736" applyFont="1" applyFill="1" applyBorder="1" applyAlignment="1" applyProtection="1">
      <alignment horizontal="right"/>
      <protection locked="0"/>
    </xf>
    <xf numFmtId="0" fontId="175" fillId="48" borderId="95" xfId="8736" applyFont="1" applyFill="1" applyBorder="1" applyAlignment="1" applyProtection="1">
      <alignment horizontal="left"/>
      <protection locked="0"/>
    </xf>
    <xf numFmtId="0" fontId="175" fillId="48" borderId="70" xfId="8736" applyFont="1" applyFill="1" applyBorder="1" applyAlignment="1" applyProtection="1">
      <alignment horizontal="left"/>
      <protection locked="0"/>
    </xf>
    <xf numFmtId="0" fontId="175" fillId="48" borderId="77" xfId="8736" applyFont="1" applyFill="1" applyBorder="1" applyAlignment="1" applyProtection="1">
      <alignment horizontal="left"/>
      <protection locked="0"/>
    </xf>
    <xf numFmtId="168" fontId="177" fillId="48" borderId="11" xfId="700" applyNumberFormat="1" applyFont="1" applyFill="1" applyBorder="1" applyAlignment="1" applyProtection="1">
      <alignment horizontal="left"/>
      <protection locked="0"/>
    </xf>
    <xf numFmtId="168" fontId="177" fillId="48" borderId="76" xfId="700" applyNumberFormat="1" applyFont="1" applyFill="1" applyBorder="1" applyAlignment="1" applyProtection="1">
      <alignment horizontal="left"/>
      <protection locked="0"/>
    </xf>
    <xf numFmtId="0" fontId="175" fillId="48" borderId="68" xfId="8736" applyFont="1" applyFill="1" applyBorder="1" applyAlignment="1" applyProtection="1">
      <alignment horizontal="left"/>
      <protection locked="0"/>
    </xf>
    <xf numFmtId="0" fontId="175" fillId="48" borderId="71" xfId="8736" applyFont="1" applyFill="1" applyBorder="1" applyAlignment="1" applyProtection="1">
      <alignment horizontal="left"/>
      <protection locked="0"/>
    </xf>
    <xf numFmtId="0" fontId="169" fillId="45" borderId="69" xfId="8736" applyFont="1" applyFill="1" applyBorder="1" applyAlignment="1">
      <alignment horizontal="center"/>
    </xf>
    <xf numFmtId="0" fontId="169" fillId="45" borderId="70" xfId="8736" applyFont="1" applyFill="1" applyBorder="1" applyAlignment="1">
      <alignment horizontal="center"/>
    </xf>
    <xf numFmtId="0" fontId="106" fillId="45" borderId="67" xfId="8736" applyFont="1" applyFill="1" applyBorder="1" applyAlignment="1">
      <alignment horizontal="center"/>
    </xf>
    <xf numFmtId="0" fontId="106" fillId="45" borderId="68" xfId="8736" applyFont="1" applyFill="1" applyBorder="1" applyAlignment="1">
      <alignment horizontal="center"/>
    </xf>
    <xf numFmtId="0" fontId="169" fillId="45" borderId="98" xfId="8736" applyFont="1" applyFill="1" applyBorder="1" applyAlignment="1">
      <alignment horizontal="center"/>
    </xf>
    <xf numFmtId="0" fontId="169" fillId="45" borderId="13" xfId="8736" applyFont="1" applyFill="1" applyBorder="1" applyAlignment="1">
      <alignment horizontal="center"/>
    </xf>
    <xf numFmtId="0" fontId="175" fillId="48" borderId="72" xfId="8736" applyFont="1" applyFill="1" applyBorder="1" applyAlignment="1" applyProtection="1">
      <alignment horizontal="left" vertical="top"/>
      <protection locked="0"/>
    </xf>
    <xf numFmtId="0" fontId="175" fillId="48" borderId="11" xfId="8736" applyFont="1" applyFill="1" applyBorder="1" applyAlignment="1" applyProtection="1">
      <alignment horizontal="left" vertical="top"/>
      <protection locked="0"/>
    </xf>
    <xf numFmtId="0" fontId="175" fillId="48" borderId="76" xfId="8736" applyFont="1" applyFill="1" applyBorder="1" applyAlignment="1" applyProtection="1">
      <alignment horizontal="left" vertical="top"/>
      <protection locked="0"/>
    </xf>
    <xf numFmtId="0" fontId="175" fillId="48" borderId="69" xfId="8736" applyFont="1" applyFill="1" applyBorder="1" applyAlignment="1" applyProtection="1">
      <alignment horizontal="left" vertical="top"/>
      <protection locked="0"/>
    </xf>
    <xf numFmtId="0" fontId="175" fillId="48" borderId="70" xfId="8736" applyFont="1" applyFill="1" applyBorder="1" applyAlignment="1" applyProtection="1">
      <alignment horizontal="left" vertical="top"/>
      <protection locked="0"/>
    </xf>
    <xf numFmtId="0" fontId="175" fillId="48" borderId="77" xfId="8736" applyFont="1" applyFill="1" applyBorder="1" applyAlignment="1" applyProtection="1">
      <alignment horizontal="left" vertical="top"/>
      <protection locked="0"/>
    </xf>
    <xf numFmtId="0" fontId="175" fillId="48" borderId="72" xfId="8736" applyFont="1" applyFill="1" applyBorder="1" applyAlignment="1" applyProtection="1">
      <alignment horizontal="center"/>
      <protection locked="0"/>
    </xf>
    <xf numFmtId="0" fontId="169" fillId="45" borderId="89" xfId="8736" applyFont="1" applyFill="1" applyBorder="1" applyAlignment="1">
      <alignment horizontal="right"/>
    </xf>
    <xf numFmtId="0" fontId="169" fillId="45" borderId="43" xfId="8736" applyFont="1" applyFill="1" applyBorder="1" applyAlignment="1">
      <alignment horizontal="right"/>
    </xf>
    <xf numFmtId="168" fontId="169" fillId="45" borderId="43" xfId="8736" applyNumberFormat="1" applyFont="1" applyFill="1" applyBorder="1" applyAlignment="1">
      <alignment horizontal="left"/>
    </xf>
    <xf numFmtId="168" fontId="169" fillId="45" borderId="88" xfId="8736" applyNumberFormat="1" applyFont="1" applyFill="1" applyBorder="1" applyAlignment="1">
      <alignment horizontal="left"/>
    </xf>
    <xf numFmtId="0" fontId="1" fillId="48" borderId="9" xfId="8736" applyFont="1" applyFill="1" applyBorder="1" applyAlignment="1" applyProtection="1">
      <alignment horizontal="center"/>
      <protection locked="0"/>
    </xf>
    <xf numFmtId="0" fontId="5" fillId="48" borderId="6" xfId="8736" applyFill="1" applyBorder="1" applyAlignment="1" applyProtection="1">
      <alignment horizontal="center"/>
      <protection locked="0"/>
    </xf>
    <xf numFmtId="0" fontId="5" fillId="48" borderId="82" xfId="8736" applyFill="1" applyBorder="1" applyAlignment="1" applyProtection="1">
      <alignment horizontal="center"/>
      <protection locked="0"/>
    </xf>
    <xf numFmtId="0" fontId="106" fillId="45" borderId="67" xfId="8736" applyFont="1" applyFill="1" applyBorder="1" applyAlignment="1">
      <alignment horizontal="center" wrapText="1"/>
    </xf>
    <xf numFmtId="0" fontId="106" fillId="45" borderId="68" xfId="8736" applyFont="1" applyFill="1" applyBorder="1" applyAlignment="1">
      <alignment horizontal="center" wrapText="1"/>
    </xf>
    <xf numFmtId="0" fontId="106" fillId="45" borderId="71" xfId="8736" applyFont="1" applyFill="1" applyBorder="1" applyAlignment="1">
      <alignment horizontal="center" wrapText="1"/>
    </xf>
    <xf numFmtId="0" fontId="106" fillId="45" borderId="67" xfId="8736" applyFont="1" applyFill="1" applyBorder="1" applyAlignment="1">
      <alignment horizontal="left" wrapText="1"/>
    </xf>
    <xf numFmtId="0" fontId="106" fillId="45" borderId="68" xfId="8736" applyFont="1" applyFill="1" applyBorder="1" applyAlignment="1">
      <alignment horizontal="left" wrapText="1"/>
    </xf>
    <xf numFmtId="0" fontId="106" fillId="45" borderId="72" xfId="8736" applyFont="1" applyFill="1" applyBorder="1" applyAlignment="1">
      <alignment horizontal="left" wrapText="1"/>
    </xf>
    <xf numFmtId="0" fontId="106" fillId="45" borderId="11" xfId="8736" applyFont="1" applyFill="1" applyBorder="1" applyAlignment="1">
      <alignment horizontal="left" wrapText="1"/>
    </xf>
    <xf numFmtId="0" fontId="172" fillId="48" borderId="68" xfId="8736" applyFont="1" applyFill="1" applyBorder="1" applyAlignment="1" applyProtection="1">
      <alignment horizontal="left" wrapText="1"/>
      <protection locked="0"/>
    </xf>
    <xf numFmtId="0" fontId="172" fillId="48" borderId="71" xfId="8736" applyFont="1" applyFill="1" applyBorder="1" applyAlignment="1" applyProtection="1">
      <alignment horizontal="left" wrapText="1"/>
      <protection locked="0"/>
    </xf>
    <xf numFmtId="0" fontId="172" fillId="48" borderId="11" xfId="8736" applyFont="1" applyFill="1" applyBorder="1" applyAlignment="1" applyProtection="1">
      <alignment horizontal="left" wrapText="1"/>
      <protection locked="0"/>
    </xf>
    <xf numFmtId="0" fontId="172" fillId="48" borderId="76" xfId="8736" applyFont="1" applyFill="1" applyBorder="1" applyAlignment="1" applyProtection="1">
      <alignment horizontal="left" wrapText="1"/>
      <protection locked="0"/>
    </xf>
    <xf numFmtId="0" fontId="176" fillId="45" borderId="11" xfId="8736" applyFont="1" applyFill="1" applyBorder="1" applyAlignment="1">
      <alignment horizontal="center" wrapText="1"/>
    </xf>
    <xf numFmtId="0" fontId="168" fillId="45" borderId="11" xfId="8736" applyFont="1" applyFill="1" applyBorder="1" applyAlignment="1">
      <alignment horizontal="center"/>
    </xf>
    <xf numFmtId="0" fontId="168" fillId="45" borderId="76" xfId="8736" applyFont="1" applyFill="1" applyBorder="1" applyAlignment="1">
      <alignment horizontal="center"/>
    </xf>
    <xf numFmtId="0" fontId="175" fillId="48" borderId="72" xfId="8736" applyFont="1" applyFill="1" applyBorder="1" applyAlignment="1" applyProtection="1">
      <alignment horizontal="left" vertical="top" wrapText="1"/>
      <protection locked="0"/>
    </xf>
    <xf numFmtId="0" fontId="5" fillId="48" borderId="70" xfId="8736" applyFill="1" applyBorder="1" applyAlignment="1" applyProtection="1">
      <alignment horizontal="center"/>
      <protection locked="0"/>
    </xf>
    <xf numFmtId="0" fontId="5" fillId="48" borderId="77" xfId="8736" applyFill="1" applyBorder="1" applyAlignment="1" applyProtection="1">
      <alignment horizontal="center"/>
      <protection locked="0"/>
    </xf>
    <xf numFmtId="0" fontId="5" fillId="48" borderId="11" xfId="8736" applyFill="1" applyBorder="1" applyAlignment="1" applyProtection="1">
      <alignment horizontal="center"/>
      <protection locked="0"/>
    </xf>
    <xf numFmtId="0" fontId="5" fillId="48" borderId="76" xfId="8736" applyFill="1" applyBorder="1" applyAlignment="1" applyProtection="1">
      <alignment horizontal="center"/>
      <protection locked="0"/>
    </xf>
    <xf numFmtId="0" fontId="3" fillId="48" borderId="9" xfId="8736" applyFont="1" applyFill="1" applyBorder="1" applyAlignment="1" applyProtection="1">
      <alignment horizontal="center"/>
      <protection locked="0"/>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81" xfId="8736" applyFont="1" applyFill="1" applyBorder="1" applyAlignment="1" applyProtection="1">
      <alignment horizontal="center"/>
      <protection locked="0"/>
    </xf>
    <xf numFmtId="0" fontId="106" fillId="45" borderId="71" xfId="8736" applyFont="1" applyFill="1" applyBorder="1" applyAlignment="1">
      <alignment horizontal="center"/>
    </xf>
    <xf numFmtId="0" fontId="106" fillId="45" borderId="67" xfId="8736" applyFont="1" applyFill="1" applyBorder="1" applyAlignment="1" applyProtection="1">
      <alignment horizontal="left" vertical="center" wrapText="1"/>
      <protection locked="0"/>
    </xf>
    <xf numFmtId="0" fontId="106" fillId="45" borderId="68" xfId="8736" applyFont="1" applyFill="1" applyBorder="1" applyAlignment="1" applyProtection="1">
      <alignment horizontal="left" vertical="center" wrapText="1"/>
      <protection locked="0"/>
    </xf>
    <xf numFmtId="0" fontId="106" fillId="45" borderId="72" xfId="8736" applyFont="1" applyFill="1" applyBorder="1" applyAlignment="1" applyProtection="1">
      <alignment horizontal="left" vertical="center" wrapText="1"/>
      <protection locked="0"/>
    </xf>
    <xf numFmtId="0" fontId="106" fillId="45" borderId="11" xfId="8736" applyFont="1" applyFill="1" applyBorder="1" applyAlignment="1" applyProtection="1">
      <alignment horizontal="left" vertical="center" wrapText="1"/>
      <protection locked="0"/>
    </xf>
    <xf numFmtId="0" fontId="172" fillId="48" borderId="68" xfId="8736" applyFont="1" applyFill="1" applyBorder="1" applyAlignment="1" applyProtection="1">
      <alignment horizontal="left" vertical="center" wrapText="1"/>
      <protection locked="0"/>
    </xf>
    <xf numFmtId="0" fontId="172" fillId="48" borderId="71" xfId="8736" applyFont="1" applyFill="1" applyBorder="1" applyAlignment="1" applyProtection="1">
      <alignment horizontal="left" vertical="center" wrapText="1"/>
      <protection locked="0"/>
    </xf>
    <xf numFmtId="0" fontId="172" fillId="48" borderId="11" xfId="8736" applyFont="1" applyFill="1" applyBorder="1" applyAlignment="1" applyProtection="1">
      <alignment horizontal="left" vertical="center" wrapText="1"/>
      <protection locked="0"/>
    </xf>
    <xf numFmtId="0" fontId="172" fillId="48" borderId="76" xfId="8736" applyFont="1" applyFill="1" applyBorder="1" applyAlignment="1" applyProtection="1">
      <alignment horizontal="left" vertical="center" wrapText="1"/>
      <protection locked="0"/>
    </xf>
    <xf numFmtId="0" fontId="175" fillId="48" borderId="11" xfId="8736" applyFont="1" applyFill="1" applyBorder="1" applyAlignment="1" applyProtection="1">
      <alignment horizontal="left" vertical="top" wrapText="1"/>
      <protection locked="0"/>
    </xf>
    <xf numFmtId="0" fontId="175" fillId="48" borderId="69" xfId="8736" applyFont="1" applyFill="1" applyBorder="1" applyAlignment="1" applyProtection="1">
      <alignment horizontal="left" vertical="top" wrapText="1"/>
      <protection locked="0"/>
    </xf>
    <xf numFmtId="0" fontId="175" fillId="48" borderId="70"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center" vertical="center" wrapText="1"/>
      <protection locked="0"/>
    </xf>
    <xf numFmtId="0" fontId="172" fillId="48" borderId="76" xfId="8736" applyFont="1" applyFill="1" applyBorder="1" applyAlignment="1" applyProtection="1">
      <alignment horizontal="center" vertical="center" wrapText="1"/>
      <protection locked="0"/>
    </xf>
    <xf numFmtId="0" fontId="172" fillId="48" borderId="70" xfId="8736" applyFont="1" applyFill="1" applyBorder="1" applyAlignment="1" applyProtection="1">
      <alignment horizontal="center" vertical="center" wrapText="1"/>
      <protection locked="0"/>
    </xf>
    <xf numFmtId="0" fontId="172" fillId="48" borderId="77" xfId="8736" applyFont="1" applyFill="1" applyBorder="1" applyAlignment="1" applyProtection="1">
      <alignment horizontal="center" vertical="center" wrapText="1"/>
      <protection locked="0"/>
    </xf>
    <xf numFmtId="0" fontId="179" fillId="45" borderId="72" xfId="8736" applyFont="1" applyFill="1" applyBorder="1" applyAlignment="1">
      <alignment horizontal="left"/>
    </xf>
    <xf numFmtId="0" fontId="179" fillId="45" borderId="11" xfId="8736" applyFont="1" applyFill="1" applyBorder="1" applyAlignment="1">
      <alignment horizontal="left"/>
    </xf>
    <xf numFmtId="0" fontId="179" fillId="45" borderId="69" xfId="8736" applyFont="1" applyFill="1" applyBorder="1" applyAlignment="1">
      <alignment horizontal="left"/>
    </xf>
    <xf numFmtId="0" fontId="179" fillId="45" borderId="70" xfId="8736" applyFont="1" applyFill="1" applyBorder="1" applyAlignment="1">
      <alignment horizontal="left"/>
    </xf>
    <xf numFmtId="0" fontId="5" fillId="51" borderId="70" xfId="8736" applyFill="1" applyBorder="1" applyAlignment="1" applyProtection="1">
      <alignment horizontal="center"/>
      <protection locked="0"/>
    </xf>
    <xf numFmtId="0" fontId="5" fillId="51" borderId="77" xfId="8736" applyFill="1" applyBorder="1" applyAlignment="1" applyProtection="1">
      <alignment horizontal="center"/>
      <protection locked="0"/>
    </xf>
    <xf numFmtId="0" fontId="106" fillId="45" borderId="71" xfId="8736" applyFont="1" applyFill="1" applyBorder="1" applyAlignment="1">
      <alignment horizontal="left" wrapText="1"/>
    </xf>
    <xf numFmtId="0" fontId="106" fillId="45" borderId="76" xfId="8736" applyFont="1" applyFill="1" applyBorder="1" applyAlignment="1">
      <alignment horizontal="left" wrapText="1"/>
    </xf>
    <xf numFmtId="0" fontId="106" fillId="45" borderId="65" xfId="8736" applyFont="1" applyFill="1" applyBorder="1" applyAlignment="1">
      <alignment horizontal="center"/>
    </xf>
    <xf numFmtId="0" fontId="106" fillId="45" borderId="29" xfId="8736" applyFont="1" applyFill="1" applyBorder="1" applyAlignment="1">
      <alignment horizontal="center"/>
    </xf>
    <xf numFmtId="0" fontId="106" fillId="45" borderId="31" xfId="8736" applyFont="1" applyFill="1" applyBorder="1" applyAlignment="1">
      <alignment horizontal="center"/>
    </xf>
    <xf numFmtId="0" fontId="168" fillId="48" borderId="90" xfId="8736" applyFont="1" applyFill="1" applyBorder="1" applyAlignment="1">
      <alignment horizontal="left"/>
    </xf>
    <xf numFmtId="0" fontId="168" fillId="48" borderId="4" xfId="8736" applyFont="1" applyFill="1" applyBorder="1" applyAlignment="1">
      <alignment horizontal="left"/>
    </xf>
    <xf numFmtId="0" fontId="168" fillId="48" borderId="5" xfId="8736" applyFont="1" applyFill="1" applyBorder="1" applyAlignment="1">
      <alignment horizontal="left"/>
    </xf>
    <xf numFmtId="0" fontId="168" fillId="45" borderId="72" xfId="8736" applyFont="1" applyFill="1" applyBorder="1" applyAlignment="1">
      <alignment horizontal="left"/>
    </xf>
    <xf numFmtId="0" fontId="168" fillId="45" borderId="11" xfId="8736" applyFont="1" applyFill="1" applyBorder="1" applyAlignment="1">
      <alignment horizontal="left"/>
    </xf>
    <xf numFmtId="0" fontId="180" fillId="48" borderId="11" xfId="8736" applyFont="1" applyFill="1" applyBorder="1" applyAlignment="1" applyProtection="1">
      <alignment horizontal="left"/>
      <protection locked="0"/>
    </xf>
    <xf numFmtId="0" fontId="180" fillId="48" borderId="76" xfId="8736" applyFont="1" applyFill="1" applyBorder="1" applyAlignment="1" applyProtection="1">
      <alignment horizontal="left"/>
      <protection locked="0"/>
    </xf>
    <xf numFmtId="0" fontId="177" fillId="48" borderId="72" xfId="8736" applyFont="1" applyFill="1" applyBorder="1" applyAlignment="1" applyProtection="1">
      <alignment horizontal="left" vertical="top" wrapText="1"/>
      <protection locked="0"/>
    </xf>
    <xf numFmtId="0" fontId="177" fillId="48" borderId="11" xfId="8736" applyFont="1" applyFill="1" applyBorder="1" applyAlignment="1" applyProtection="1">
      <alignment horizontal="left" vertical="top"/>
      <protection locked="0"/>
    </xf>
    <xf numFmtId="0" fontId="177" fillId="48" borderId="76" xfId="8736" applyFont="1" applyFill="1" applyBorder="1" applyAlignment="1" applyProtection="1">
      <alignment horizontal="left" vertical="top"/>
      <protection locked="0"/>
    </xf>
    <xf numFmtId="0" fontId="177" fillId="48" borderId="72" xfId="8736" applyFont="1" applyFill="1" applyBorder="1" applyAlignment="1" applyProtection="1">
      <alignment horizontal="left" vertical="top"/>
      <protection locked="0"/>
    </xf>
    <xf numFmtId="0" fontId="177" fillId="48" borderId="69" xfId="8736" applyFont="1" applyFill="1" applyBorder="1" applyAlignment="1" applyProtection="1">
      <alignment horizontal="left" vertical="top"/>
      <protection locked="0"/>
    </xf>
    <xf numFmtId="0" fontId="177" fillId="48" borderId="70" xfId="8736" applyFont="1" applyFill="1" applyBorder="1" applyAlignment="1" applyProtection="1">
      <alignment horizontal="left" vertical="top"/>
      <protection locked="0"/>
    </xf>
    <xf numFmtId="0" fontId="177" fillId="48" borderId="77" xfId="8736" applyFont="1" applyFill="1" applyBorder="1" applyAlignment="1" applyProtection="1">
      <alignment horizontal="left" vertical="top"/>
      <protection locked="0"/>
    </xf>
    <xf numFmtId="0" fontId="168" fillId="45" borderId="67" xfId="8736" applyFont="1" applyFill="1" applyBorder="1" applyAlignment="1">
      <alignment horizontal="left"/>
    </xf>
    <xf numFmtId="0" fontId="168" fillId="45" borderId="68" xfId="8736" applyFont="1" applyFill="1" applyBorder="1" applyAlignment="1">
      <alignment horizontal="left"/>
    </xf>
    <xf numFmtId="0" fontId="106" fillId="45" borderId="72" xfId="8736" applyFont="1" applyFill="1" applyBorder="1" applyAlignment="1">
      <alignment horizontal="center"/>
    </xf>
    <xf numFmtId="0" fontId="106" fillId="45" borderId="11" xfId="8736" applyFont="1" applyFill="1" applyBorder="1" applyAlignment="1">
      <alignment horizontal="center"/>
    </xf>
    <xf numFmtId="0" fontId="168" fillId="45" borderId="11" xfId="8736" applyFont="1" applyFill="1" applyBorder="1" applyAlignment="1">
      <alignment horizontal="center" wrapText="1"/>
    </xf>
    <xf numFmtId="0" fontId="168" fillId="45" borderId="76" xfId="8736" applyFont="1" applyFill="1" applyBorder="1" applyAlignment="1">
      <alignment horizontal="center" wrapText="1"/>
    </xf>
    <xf numFmtId="0" fontId="182" fillId="45" borderId="11" xfId="8736" applyFont="1" applyFill="1" applyBorder="1" applyAlignment="1">
      <alignment horizontal="left"/>
    </xf>
    <xf numFmtId="0" fontId="182" fillId="45" borderId="76" xfId="8736" applyFont="1" applyFill="1" applyBorder="1" applyAlignment="1">
      <alignment horizontal="left"/>
    </xf>
    <xf numFmtId="0" fontId="174" fillId="45" borderId="72" xfId="8736" applyFont="1" applyFill="1" applyBorder="1" applyAlignment="1">
      <alignment horizontal="center"/>
    </xf>
    <xf numFmtId="0" fontId="174" fillId="45" borderId="11" xfId="8736" applyFont="1" applyFill="1" applyBorder="1" applyAlignment="1">
      <alignment horizontal="center"/>
    </xf>
    <xf numFmtId="0" fontId="177" fillId="48" borderId="11" xfId="8736" applyFont="1" applyFill="1" applyBorder="1" applyAlignment="1" applyProtection="1">
      <alignment horizontal="center"/>
      <protection locked="0"/>
    </xf>
    <xf numFmtId="14" fontId="175" fillId="48" borderId="11" xfId="8736" applyNumberFormat="1" applyFont="1" applyFill="1" applyBorder="1" applyAlignment="1" applyProtection="1">
      <alignment horizontal="center"/>
      <protection locked="0"/>
    </xf>
    <xf numFmtId="14" fontId="177" fillId="48" borderId="11" xfId="8736" applyNumberFormat="1" applyFont="1" applyFill="1" applyBorder="1" applyAlignment="1" applyProtection="1">
      <alignment horizontal="center"/>
      <protection locked="0"/>
    </xf>
    <xf numFmtId="0" fontId="106" fillId="45" borderId="76" xfId="8736" applyFont="1" applyFill="1" applyBorder="1" applyAlignment="1">
      <alignment horizontal="center"/>
    </xf>
    <xf numFmtId="168" fontId="177" fillId="48" borderId="11" xfId="8737" applyNumberFormat="1" applyFont="1" applyFill="1" applyBorder="1" applyAlignment="1" applyProtection="1">
      <alignment horizontal="center"/>
      <protection locked="0"/>
    </xf>
    <xf numFmtId="168" fontId="177" fillId="48" borderId="76" xfId="8737" applyNumberFormat="1" applyFont="1" applyFill="1" applyBorder="1" applyAlignment="1" applyProtection="1">
      <alignment horizontal="center"/>
      <protection locked="0"/>
    </xf>
    <xf numFmtId="0" fontId="178" fillId="48" borderId="11" xfId="8736" applyFont="1" applyFill="1" applyBorder="1" applyAlignment="1" applyProtection="1">
      <alignment horizontal="left"/>
      <protection locked="0"/>
    </xf>
    <xf numFmtId="0" fontId="174" fillId="45" borderId="69" xfId="8736" applyFont="1" applyFill="1" applyBorder="1" applyAlignment="1">
      <alignment horizontal="center"/>
    </xf>
    <xf numFmtId="0" fontId="174" fillId="45" borderId="70" xfId="8736" applyFont="1" applyFill="1" applyBorder="1" applyAlignment="1">
      <alignment horizontal="center"/>
    </xf>
    <xf numFmtId="0" fontId="178" fillId="48" borderId="70" xfId="8736" applyFont="1" applyFill="1" applyBorder="1" applyAlignment="1" applyProtection="1">
      <alignment horizontal="left"/>
      <protection locked="0"/>
    </xf>
    <xf numFmtId="0" fontId="177" fillId="48" borderId="70" xfId="8736" applyFont="1" applyFill="1" applyBorder="1" applyAlignment="1" applyProtection="1">
      <alignment horizontal="center"/>
      <protection locked="0"/>
    </xf>
    <xf numFmtId="14" fontId="177" fillId="48" borderId="70" xfId="8736" applyNumberFormat="1" applyFont="1" applyFill="1" applyBorder="1" applyAlignment="1" applyProtection="1">
      <alignment horizontal="center"/>
      <protection locked="0"/>
    </xf>
    <xf numFmtId="168" fontId="177" fillId="48" borderId="70" xfId="8737" applyNumberFormat="1" applyFont="1" applyFill="1" applyBorder="1" applyAlignment="1" applyProtection="1">
      <alignment horizontal="center"/>
      <protection locked="0"/>
    </xf>
    <xf numFmtId="168" fontId="177" fillId="48" borderId="77" xfId="8737" applyNumberFormat="1" applyFont="1" applyFill="1" applyBorder="1" applyAlignment="1" applyProtection="1">
      <alignment horizontal="center"/>
      <protection locked="0"/>
    </xf>
    <xf numFmtId="0" fontId="169" fillId="45" borderId="67" xfId="8736" applyFont="1" applyFill="1" applyBorder="1" applyAlignment="1">
      <alignment horizontal="left"/>
    </xf>
    <xf numFmtId="0" fontId="169" fillId="45" borderId="68" xfId="8736" applyFont="1" applyFill="1" applyBorder="1" applyAlignment="1">
      <alignment horizontal="left"/>
    </xf>
    <xf numFmtId="0" fontId="169" fillId="45" borderId="71" xfId="8736" applyFont="1" applyFill="1" applyBorder="1" applyAlignment="1">
      <alignment horizontal="left"/>
    </xf>
    <xf numFmtId="14" fontId="175" fillId="48" borderId="76" xfId="8736" applyNumberFormat="1" applyFont="1" applyFill="1" applyBorder="1" applyAlignment="1" applyProtection="1">
      <alignment horizontal="center"/>
      <protection locked="0"/>
    </xf>
    <xf numFmtId="0" fontId="175" fillId="48" borderId="69" xfId="8736" applyFont="1" applyFill="1" applyBorder="1" applyAlignment="1" applyProtection="1">
      <alignment horizontal="center"/>
      <protection locked="0"/>
    </xf>
    <xf numFmtId="0" fontId="175" fillId="48" borderId="70" xfId="8736" applyFont="1" applyFill="1" applyBorder="1" applyAlignment="1" applyProtection="1">
      <alignment horizontal="center"/>
      <protection locked="0"/>
    </xf>
    <xf numFmtId="14" fontId="175" fillId="48" borderId="70" xfId="8736" applyNumberFormat="1" applyFont="1" applyFill="1" applyBorder="1" applyAlignment="1" applyProtection="1">
      <alignment horizontal="center"/>
      <protection locked="0"/>
    </xf>
    <xf numFmtId="14" fontId="175" fillId="48" borderId="77" xfId="8736" applyNumberFormat="1" applyFont="1" applyFill="1" applyBorder="1" applyAlignment="1" applyProtection="1">
      <alignment horizontal="center"/>
      <protection locked="0"/>
    </xf>
    <xf numFmtId="0" fontId="175" fillId="45" borderId="72" xfId="8736" applyFont="1" applyFill="1" applyBorder="1" applyAlignment="1">
      <alignment horizontal="right"/>
    </xf>
    <xf numFmtId="0" fontId="175" fillId="45" borderId="11" xfId="8736" applyFont="1" applyFill="1" applyBorder="1" applyAlignment="1">
      <alignment horizontal="right"/>
    </xf>
    <xf numFmtId="168" fontId="177" fillId="44" borderId="11" xfId="700" applyNumberFormat="1" applyFont="1" applyFill="1" applyBorder="1" applyAlignment="1">
      <alignment horizontal="left"/>
    </xf>
    <xf numFmtId="0" fontId="106" fillId="45" borderId="65" xfId="8736" applyFont="1" applyFill="1" applyBorder="1" applyAlignment="1">
      <alignment horizontal="left" wrapText="1"/>
    </xf>
    <xf numFmtId="0" fontId="106" fillId="45" borderId="29" xfId="8736" applyFont="1" applyFill="1" applyBorder="1" applyAlignment="1">
      <alignment horizontal="left" wrapText="1"/>
    </xf>
    <xf numFmtId="0" fontId="106" fillId="45" borderId="31" xfId="8736" applyFont="1" applyFill="1" applyBorder="1" applyAlignment="1">
      <alignment horizontal="left" wrapText="1"/>
    </xf>
    <xf numFmtId="0" fontId="106" fillId="45" borderId="73" xfId="8736" applyFont="1" applyFill="1" applyBorder="1" applyAlignment="1">
      <alignment horizontal="left" wrapText="1"/>
    </xf>
    <xf numFmtId="0" fontId="106" fillId="45" borderId="42" xfId="8736" applyFont="1" applyFill="1" applyBorder="1" applyAlignment="1">
      <alignment horizontal="left" wrapText="1"/>
    </xf>
    <xf numFmtId="0" fontId="106" fillId="45" borderId="44" xfId="8736" applyFont="1" applyFill="1" applyBorder="1" applyAlignment="1">
      <alignment horizontal="left" wrapText="1"/>
    </xf>
    <xf numFmtId="168" fontId="175" fillId="48" borderId="11" xfId="700" applyNumberFormat="1" applyFont="1" applyFill="1" applyBorder="1" applyAlignment="1" applyProtection="1">
      <alignment horizontal="left"/>
      <protection locked="0"/>
    </xf>
    <xf numFmtId="43" fontId="172" fillId="50" borderId="72" xfId="698" applyFont="1" applyFill="1" applyBorder="1" applyAlignment="1" applyProtection="1">
      <alignment horizontal="left"/>
      <protection hidden="1"/>
    </xf>
    <xf numFmtId="43" fontId="172" fillId="50" borderId="11" xfId="698" applyFont="1" applyFill="1" applyBorder="1" applyAlignment="1" applyProtection="1">
      <alignment horizontal="left"/>
      <protection hidden="1"/>
    </xf>
    <xf numFmtId="44" fontId="5" fillId="48" borderId="11" xfId="700" applyFont="1" applyFill="1" applyBorder="1" applyAlignment="1" applyProtection="1">
      <alignment horizontal="center"/>
      <protection locked="0"/>
    </xf>
    <xf numFmtId="0" fontId="106" fillId="47" borderId="0" xfId="8736" applyFont="1" applyFill="1" applyAlignment="1">
      <alignment horizontal="center"/>
    </xf>
    <xf numFmtId="0" fontId="176" fillId="51" borderId="11" xfId="8736" applyFont="1" applyFill="1" applyBorder="1" applyAlignment="1">
      <alignment horizontal="center"/>
    </xf>
    <xf numFmtId="0" fontId="176" fillId="51" borderId="76" xfId="8736" applyFont="1" applyFill="1" applyBorder="1" applyAlignment="1">
      <alignment horizontal="center"/>
    </xf>
    <xf numFmtId="0" fontId="177" fillId="45" borderId="72" xfId="8736" applyFont="1" applyFill="1" applyBorder="1" applyAlignment="1">
      <alignment horizontal="right"/>
    </xf>
    <xf numFmtId="0" fontId="177" fillId="45" borderId="11" xfId="8736" applyFont="1" applyFill="1" applyBorder="1" applyAlignment="1">
      <alignment horizontal="right"/>
    </xf>
    <xf numFmtId="168" fontId="175" fillId="44" borderId="11" xfId="700" applyNumberFormat="1" applyFont="1" applyFill="1" applyBorder="1" applyAlignment="1" applyProtection="1">
      <alignment horizontal="left"/>
      <protection locked="0"/>
    </xf>
    <xf numFmtId="0" fontId="5" fillId="48" borderId="3" xfId="8736" applyFill="1" applyBorder="1" applyAlignment="1">
      <alignment horizontal="center"/>
    </xf>
    <xf numFmtId="0" fontId="5" fillId="48" borderId="4" xfId="8736" applyFill="1" applyBorder="1" applyAlignment="1">
      <alignment horizontal="center"/>
    </xf>
    <xf numFmtId="0" fontId="5" fillId="48" borderId="81" xfId="8736" applyFill="1" applyBorder="1" applyAlignment="1">
      <alignment horizontal="center"/>
    </xf>
    <xf numFmtId="43" fontId="169" fillId="50" borderId="111" xfId="698" applyFont="1" applyFill="1" applyBorder="1" applyAlignment="1" applyProtection="1">
      <alignment horizontal="center"/>
      <protection hidden="1"/>
    </xf>
    <xf numFmtId="43" fontId="169" fillId="50" borderId="84" xfId="698" applyFont="1" applyFill="1" applyBorder="1" applyAlignment="1" applyProtection="1">
      <alignment horizontal="center"/>
      <protection hidden="1"/>
    </xf>
    <xf numFmtId="43" fontId="169" fillId="50" borderId="102" xfId="698" applyFont="1" applyFill="1" applyBorder="1" applyAlignment="1" applyProtection="1">
      <alignment horizontal="center"/>
      <protection hidden="1"/>
    </xf>
    <xf numFmtId="43" fontId="172" fillId="50" borderId="98" xfId="698" applyFont="1" applyFill="1" applyBorder="1" applyAlignment="1" applyProtection="1">
      <alignment horizontal="left"/>
      <protection hidden="1"/>
    </xf>
    <xf numFmtId="43" fontId="172" fillId="50" borderId="13" xfId="698" applyFont="1" applyFill="1" applyBorder="1" applyAlignment="1" applyProtection="1">
      <alignment horizontal="left"/>
      <protection hidden="1"/>
    </xf>
    <xf numFmtId="44" fontId="5" fillId="48" borderId="13" xfId="700" applyFont="1" applyFill="1" applyBorder="1" applyAlignment="1" applyProtection="1">
      <alignment horizontal="center"/>
      <protection locked="0"/>
    </xf>
    <xf numFmtId="0" fontId="175" fillId="48" borderId="9" xfId="8736" applyFont="1" applyFill="1" applyBorder="1" applyAlignment="1">
      <alignment horizontal="center"/>
    </xf>
    <xf numFmtId="0" fontId="175" fillId="48" borderId="6" xfId="8736" applyFont="1" applyFill="1" applyBorder="1" applyAlignment="1">
      <alignment horizontal="center"/>
    </xf>
    <xf numFmtId="0" fontId="175" fillId="48" borderId="82" xfId="8736" applyFont="1" applyFill="1" applyBorder="1" applyAlignment="1">
      <alignment horizontal="center"/>
    </xf>
    <xf numFmtId="0" fontId="177" fillId="48" borderId="11" xfId="8736" applyFont="1" applyFill="1" applyBorder="1" applyAlignment="1" applyProtection="1">
      <alignment horizontal="left"/>
      <protection locked="0"/>
    </xf>
    <xf numFmtId="0" fontId="5" fillId="48" borderId="1" xfId="8736" applyFill="1" applyBorder="1" applyAlignment="1">
      <alignment horizontal="center"/>
    </xf>
    <xf numFmtId="0" fontId="5" fillId="48" borderId="2" xfId="8736" applyFill="1" applyBorder="1" applyAlignment="1">
      <alignment horizontal="center"/>
    </xf>
    <xf numFmtId="0" fontId="5" fillId="48" borderId="112" xfId="8736" applyFill="1" applyBorder="1" applyAlignment="1">
      <alignment horizontal="center"/>
    </xf>
    <xf numFmtId="0" fontId="177" fillId="48" borderId="72" xfId="8736" applyFont="1" applyFill="1" applyBorder="1" applyAlignment="1" applyProtection="1">
      <alignment horizontal="center"/>
      <protection locked="0"/>
    </xf>
    <xf numFmtId="43" fontId="172" fillId="50" borderId="72" xfId="698" applyFont="1" applyFill="1" applyBorder="1" applyAlignment="1" applyProtection="1">
      <alignment horizontal="left" wrapText="1"/>
      <protection hidden="1"/>
    </xf>
    <xf numFmtId="43" fontId="172" fillId="50" borderId="11" xfId="698" applyFont="1" applyFill="1" applyBorder="1" applyAlignment="1" applyProtection="1">
      <alignment horizontal="left" wrapText="1"/>
      <protection hidden="1"/>
    </xf>
    <xf numFmtId="44" fontId="5" fillId="48" borderId="11" xfId="700" applyFont="1" applyFill="1" applyBorder="1" applyAlignment="1" applyProtection="1">
      <alignment horizontal="center"/>
      <protection hidden="1"/>
    </xf>
    <xf numFmtId="0" fontId="177" fillId="45" borderId="67" xfId="8736" applyFont="1" applyFill="1" applyBorder="1" applyAlignment="1">
      <alignment horizontal="right"/>
    </xf>
    <xf numFmtId="0" fontId="177" fillId="45" borderId="68" xfId="8736" applyFont="1" applyFill="1" applyBorder="1" applyAlignment="1">
      <alignment horizontal="right"/>
    </xf>
    <xf numFmtId="168" fontId="172" fillId="44" borderId="68" xfId="700" applyNumberFormat="1" applyFont="1" applyFill="1" applyBorder="1" applyAlignment="1">
      <alignment horizontal="left"/>
    </xf>
    <xf numFmtId="168" fontId="172" fillId="44" borderId="71" xfId="700" applyNumberFormat="1" applyFont="1" applyFill="1" applyBorder="1" applyAlignment="1">
      <alignment horizontal="left"/>
    </xf>
    <xf numFmtId="0" fontId="174" fillId="48" borderId="66" xfId="8736" applyFont="1" applyFill="1" applyBorder="1" applyAlignment="1">
      <alignment horizontal="left" wrapText="1"/>
    </xf>
    <xf numFmtId="0" fontId="174" fillId="48" borderId="0" xfId="8736" applyFont="1" applyFill="1" applyAlignment="1">
      <alignment horizontal="left" wrapText="1"/>
    </xf>
    <xf numFmtId="0" fontId="174" fillId="48" borderId="41" xfId="8736" applyFont="1" applyFill="1" applyBorder="1" applyAlignment="1">
      <alignment horizontal="left" wrapText="1"/>
    </xf>
    <xf numFmtId="0" fontId="174" fillId="48" borderId="73" xfId="8736" applyFont="1" applyFill="1" applyBorder="1" applyAlignment="1">
      <alignment horizontal="left" wrapText="1"/>
    </xf>
    <xf numFmtId="0" fontId="174" fillId="48" borderId="42" xfId="8736" applyFont="1" applyFill="1" applyBorder="1" applyAlignment="1">
      <alignment horizontal="left" wrapText="1"/>
    </xf>
    <xf numFmtId="0" fontId="174" fillId="48" borderId="44" xfId="8736" applyFont="1" applyFill="1" applyBorder="1" applyAlignment="1">
      <alignment horizontal="left" wrapText="1"/>
    </xf>
    <xf numFmtId="0" fontId="176" fillId="45" borderId="69" xfId="8736" applyFont="1" applyFill="1" applyBorder="1" applyAlignment="1">
      <alignment horizontal="right"/>
    </xf>
    <xf numFmtId="0" fontId="176" fillId="45" borderId="70" xfId="8736" applyFont="1" applyFill="1" applyBorder="1" applyAlignment="1">
      <alignment horizontal="right"/>
    </xf>
    <xf numFmtId="0" fontId="168" fillId="44" borderId="70" xfId="700" applyNumberFormat="1" applyFont="1" applyFill="1" applyBorder="1" applyAlignment="1">
      <alignment horizontal="left"/>
    </xf>
    <xf numFmtId="168" fontId="168" fillId="44" borderId="70" xfId="700" applyNumberFormat="1" applyFont="1" applyFill="1" applyBorder="1" applyAlignment="1">
      <alignment horizontal="left"/>
    </xf>
    <xf numFmtId="168" fontId="168" fillId="44" borderId="77" xfId="700" applyNumberFormat="1" applyFont="1" applyFill="1" applyBorder="1" applyAlignment="1">
      <alignment horizontal="left"/>
    </xf>
    <xf numFmtId="0" fontId="169" fillId="47" borderId="0" xfId="8736" applyFont="1" applyFill="1" applyAlignment="1">
      <alignment horizontal="right"/>
    </xf>
    <xf numFmtId="168" fontId="173" fillId="47" borderId="0" xfId="700" applyNumberFormat="1" applyFont="1" applyFill="1" applyBorder="1" applyAlignment="1" applyProtection="1">
      <alignment horizontal="left"/>
      <protection locked="0"/>
    </xf>
    <xf numFmtId="0" fontId="175" fillId="48" borderId="87" xfId="8736" applyFont="1" applyFill="1" applyBorder="1" applyAlignment="1" applyProtection="1">
      <alignment horizontal="center"/>
      <protection locked="0"/>
    </xf>
    <xf numFmtId="0" fontId="175" fillId="48" borderId="86" xfId="8736" applyFont="1" applyFill="1" applyBorder="1" applyAlignment="1" applyProtection="1">
      <alignment horizontal="center"/>
      <protection locked="0"/>
    </xf>
    <xf numFmtId="0" fontId="177" fillId="48" borderId="70" xfId="8736" applyFont="1" applyFill="1" applyBorder="1" applyAlignment="1" applyProtection="1">
      <alignment horizontal="left"/>
      <protection locked="0"/>
    </xf>
    <xf numFmtId="0" fontId="177" fillId="48" borderId="77" xfId="8736" applyFont="1" applyFill="1" applyBorder="1" applyAlignment="1" applyProtection="1">
      <alignment horizontal="left"/>
      <protection locked="0"/>
    </xf>
    <xf numFmtId="168" fontId="175" fillId="48" borderId="86" xfId="700" applyNumberFormat="1" applyFont="1" applyFill="1" applyBorder="1" applyAlignment="1" applyProtection="1">
      <alignment horizontal="left"/>
      <protection locked="0"/>
    </xf>
    <xf numFmtId="168" fontId="175" fillId="48" borderId="85" xfId="700" applyNumberFormat="1" applyFont="1" applyFill="1" applyBorder="1" applyAlignment="1" applyProtection="1">
      <alignment horizontal="left"/>
      <protection locked="0"/>
    </xf>
    <xf numFmtId="0" fontId="175" fillId="48" borderId="87" xfId="8736" applyFont="1" applyFill="1" applyBorder="1" applyAlignment="1" applyProtection="1">
      <alignment horizontal="left"/>
      <protection locked="0"/>
    </xf>
    <xf numFmtId="0" fontId="175" fillId="48" borderId="86" xfId="8736" applyFont="1" applyFill="1" applyBorder="1" applyAlignment="1" applyProtection="1">
      <alignment horizontal="left"/>
      <protection locked="0"/>
    </xf>
    <xf numFmtId="0" fontId="175" fillId="48" borderId="85" xfId="8736" applyFont="1" applyFill="1" applyBorder="1" applyAlignment="1" applyProtection="1">
      <alignment horizontal="left"/>
      <protection locked="0"/>
    </xf>
    <xf numFmtId="0" fontId="106" fillId="48" borderId="80" xfId="8736" applyFont="1" applyFill="1" applyBorder="1" applyAlignment="1">
      <alignment horizontal="left"/>
    </xf>
    <xf numFmtId="0" fontId="106" fillId="48" borderId="79" xfId="8736" applyFont="1" applyFill="1" applyBorder="1" applyAlignment="1">
      <alignment horizontal="left"/>
    </xf>
    <xf numFmtId="44" fontId="5" fillId="48" borderId="84" xfId="700" applyFont="1" applyFill="1" applyBorder="1" applyAlignment="1" applyProtection="1">
      <alignment horizontal="center"/>
      <protection locked="0"/>
    </xf>
    <xf numFmtId="0" fontId="175" fillId="45" borderId="11" xfId="8736" applyFont="1" applyFill="1" applyBorder="1" applyAlignment="1">
      <alignment horizontal="left"/>
    </xf>
    <xf numFmtId="182" fontId="5" fillId="48" borderId="11" xfId="700" applyNumberFormat="1" applyFont="1" applyFill="1" applyBorder="1" applyAlignment="1" applyProtection="1">
      <alignment horizontal="center"/>
      <protection locked="0"/>
    </xf>
    <xf numFmtId="10" fontId="175" fillId="48" borderId="11" xfId="1022" applyNumberFormat="1" applyFont="1" applyFill="1" applyBorder="1" applyAlignment="1" applyProtection="1">
      <alignment horizontal="center"/>
      <protection locked="0"/>
    </xf>
    <xf numFmtId="182" fontId="5" fillId="0" borderId="13" xfId="8736" applyNumberFormat="1" applyBorder="1" applyAlignment="1">
      <alignment horizontal="center"/>
    </xf>
    <xf numFmtId="0" fontId="5" fillId="0" borderId="13" xfId="8736" applyBorder="1" applyAlignment="1">
      <alignment horizontal="center"/>
    </xf>
    <xf numFmtId="0" fontId="168" fillId="45" borderId="80" xfId="569" applyFont="1" applyFill="1" applyBorder="1" applyAlignment="1" applyProtection="1">
      <alignment horizontal="center" wrapText="1"/>
      <protection hidden="1"/>
    </xf>
    <xf numFmtId="0" fontId="168" fillId="45" borderId="79" xfId="569" applyFont="1" applyFill="1" applyBorder="1" applyAlignment="1" applyProtection="1">
      <alignment horizontal="center" wrapText="1"/>
      <protection hidden="1"/>
    </xf>
    <xf numFmtId="0" fontId="168" fillId="45" borderId="78" xfId="569" applyFont="1" applyFill="1" applyBorder="1" applyAlignment="1" applyProtection="1">
      <alignment horizontal="center" wrapText="1"/>
      <protection hidden="1"/>
    </xf>
    <xf numFmtId="0" fontId="168" fillId="45" borderId="13" xfId="569" applyFont="1" applyFill="1" applyBorder="1" applyAlignment="1" applyProtection="1">
      <alignment horizontal="left" wrapText="1"/>
      <protection hidden="1"/>
    </xf>
    <xf numFmtId="0" fontId="168" fillId="45" borderId="13" xfId="569" applyFont="1" applyFill="1" applyBorder="1" applyAlignment="1" applyProtection="1">
      <alignment horizontal="center" wrapText="1"/>
      <protection hidden="1"/>
    </xf>
    <xf numFmtId="0" fontId="174" fillId="45" borderId="11" xfId="8736" applyFont="1" applyFill="1" applyBorder="1" applyAlignment="1">
      <alignment horizontal="left" wrapText="1"/>
    </xf>
    <xf numFmtId="43" fontId="169" fillId="45" borderId="80" xfId="698" applyFont="1" applyFill="1" applyBorder="1" applyAlignment="1" applyProtection="1">
      <alignment horizontal="center"/>
      <protection hidden="1"/>
    </xf>
    <xf numFmtId="43" fontId="169" fillId="45" borderId="79" xfId="698" applyFont="1" applyFill="1" applyBorder="1" applyAlignment="1" applyProtection="1">
      <alignment horizontal="center"/>
      <protection hidden="1"/>
    </xf>
    <xf numFmtId="43" fontId="169" fillId="45" borderId="78" xfId="698" applyFont="1" applyFill="1" applyBorder="1" applyAlignment="1" applyProtection="1">
      <alignment horizontal="center"/>
      <protection hidden="1"/>
    </xf>
    <xf numFmtId="43" fontId="173" fillId="49" borderId="66" xfId="698" applyFont="1" applyFill="1" applyBorder="1" applyAlignment="1" applyProtection="1">
      <alignment horizontal="center" wrapText="1"/>
      <protection hidden="1"/>
    </xf>
    <xf numFmtId="43" fontId="173" fillId="49" borderId="0" xfId="698" applyFont="1" applyFill="1" applyBorder="1" applyAlignment="1" applyProtection="1">
      <alignment horizontal="center" wrapText="1"/>
      <protection hidden="1"/>
    </xf>
    <xf numFmtId="43" fontId="173" fillId="49" borderId="12" xfId="698" applyFont="1" applyFill="1" applyBorder="1" applyAlignment="1" applyProtection="1">
      <alignment horizontal="center" wrapText="1"/>
      <protection hidden="1"/>
    </xf>
    <xf numFmtId="43" fontId="173" fillId="49" borderId="83" xfId="698" applyFont="1" applyFill="1" applyBorder="1" applyAlignment="1" applyProtection="1">
      <alignment horizontal="center" wrapText="1"/>
      <protection hidden="1"/>
    </xf>
    <xf numFmtId="43" fontId="173" fillId="49" borderId="6" xfId="698" applyFont="1" applyFill="1" applyBorder="1" applyAlignment="1" applyProtection="1">
      <alignment horizontal="center" wrapText="1"/>
      <protection hidden="1"/>
    </xf>
    <xf numFmtId="43" fontId="173" fillId="49" borderId="10" xfId="698" applyFont="1" applyFill="1" applyBorder="1" applyAlignment="1" applyProtection="1">
      <alignment horizontal="center" wrapText="1"/>
      <protection hidden="1"/>
    </xf>
    <xf numFmtId="43" fontId="173" fillId="49" borderId="8" xfId="698" applyFont="1" applyFill="1" applyBorder="1" applyAlignment="1" applyProtection="1">
      <alignment horizontal="center" wrapText="1"/>
      <protection hidden="1"/>
    </xf>
    <xf numFmtId="43" fontId="173" fillId="49" borderId="9" xfId="698" applyFont="1" applyFill="1" applyBorder="1" applyAlignment="1" applyProtection="1">
      <alignment horizontal="center" wrapText="1"/>
      <protection hidden="1"/>
    </xf>
    <xf numFmtId="14" fontId="173" fillId="0" borderId="8" xfId="700" applyNumberFormat="1" applyFont="1" applyFill="1" applyBorder="1" applyAlignment="1" applyProtection="1">
      <alignment horizontal="center" wrapText="1"/>
      <protection hidden="1"/>
    </xf>
    <xf numFmtId="14" fontId="173" fillId="0" borderId="0" xfId="700" applyNumberFormat="1" applyFont="1" applyFill="1" applyBorder="1" applyAlignment="1" applyProtection="1">
      <alignment horizontal="center" wrapText="1"/>
      <protection hidden="1"/>
    </xf>
    <xf numFmtId="14" fontId="173" fillId="0" borderId="12" xfId="700" applyNumberFormat="1" applyFont="1" applyFill="1" applyBorder="1" applyAlignment="1" applyProtection="1">
      <alignment horizontal="center" wrapText="1"/>
      <protection hidden="1"/>
    </xf>
    <xf numFmtId="14" fontId="173" fillId="0" borderId="9" xfId="700" applyNumberFormat="1" applyFont="1" applyFill="1" applyBorder="1" applyAlignment="1" applyProtection="1">
      <alignment horizontal="center" wrapText="1"/>
      <protection hidden="1"/>
    </xf>
    <xf numFmtId="14" fontId="173" fillId="0" borderId="6" xfId="700" applyNumberFormat="1" applyFont="1" applyFill="1" applyBorder="1" applyAlignment="1" applyProtection="1">
      <alignment horizontal="center" wrapText="1"/>
      <protection hidden="1"/>
    </xf>
    <xf numFmtId="14" fontId="173" fillId="0" borderId="10" xfId="700" applyNumberFormat="1" applyFont="1" applyFill="1" applyBorder="1" applyAlignment="1" applyProtection="1">
      <alignment horizontal="center" wrapText="1"/>
      <protection hidden="1"/>
    </xf>
    <xf numFmtId="44" fontId="173" fillId="0" borderId="8" xfId="700" applyFont="1" applyBorder="1" applyAlignment="1" applyProtection="1">
      <alignment horizontal="center" wrapText="1"/>
      <protection hidden="1"/>
    </xf>
    <xf numFmtId="44" fontId="173" fillId="0" borderId="0" xfId="700" applyFont="1" applyBorder="1" applyAlignment="1" applyProtection="1">
      <alignment horizontal="center" wrapText="1"/>
      <protection hidden="1"/>
    </xf>
    <xf numFmtId="44" fontId="173" fillId="0" borderId="12" xfId="700" applyFont="1" applyBorder="1" applyAlignment="1" applyProtection="1">
      <alignment horizontal="center" wrapText="1"/>
      <protection hidden="1"/>
    </xf>
    <xf numFmtId="44" fontId="173" fillId="0" borderId="9" xfId="700" applyFont="1" applyBorder="1" applyAlignment="1" applyProtection="1">
      <alignment horizontal="center" wrapText="1"/>
      <protection hidden="1"/>
    </xf>
    <xf numFmtId="44" fontId="173" fillId="0" borderId="6" xfId="700" applyFont="1" applyBorder="1" applyAlignment="1" applyProtection="1">
      <alignment horizontal="center" wrapText="1"/>
      <protection hidden="1"/>
    </xf>
    <xf numFmtId="44" fontId="173" fillId="0" borderId="10" xfId="700" applyFont="1" applyBorder="1" applyAlignment="1" applyProtection="1">
      <alignment horizontal="center" wrapText="1"/>
      <protection hidden="1"/>
    </xf>
    <xf numFmtId="43" fontId="173" fillId="49" borderId="41" xfId="698" applyFont="1" applyFill="1" applyBorder="1" applyAlignment="1" applyProtection="1">
      <alignment horizontal="center" wrapText="1"/>
      <protection hidden="1"/>
    </xf>
    <xf numFmtId="43" fontId="173" fillId="49" borderId="82" xfId="698" applyFont="1" applyFill="1" applyBorder="1" applyAlignment="1" applyProtection="1">
      <alignment horizontal="center" wrapText="1"/>
      <protection hidden="1"/>
    </xf>
    <xf numFmtId="0" fontId="171" fillId="50" borderId="3" xfId="698" applyNumberFormat="1" applyFont="1" applyFill="1" applyBorder="1" applyAlignment="1" applyProtection="1">
      <alignment horizontal="center"/>
      <protection locked="0"/>
    </xf>
    <xf numFmtId="0" fontId="171" fillId="50" borderId="4" xfId="698" applyNumberFormat="1" applyFont="1" applyFill="1" applyBorder="1" applyAlignment="1" applyProtection="1">
      <alignment horizontal="center"/>
      <protection locked="0"/>
    </xf>
    <xf numFmtId="0" fontId="171" fillId="50" borderId="81" xfId="698" applyNumberFormat="1" applyFont="1" applyFill="1" applyBorder="1" applyAlignment="1" applyProtection="1">
      <alignment horizontal="center"/>
      <protection locked="0"/>
    </xf>
    <xf numFmtId="0" fontId="172" fillId="49" borderId="72" xfId="698" applyNumberFormat="1" applyFont="1" applyFill="1" applyBorder="1" applyAlignment="1" applyProtection="1">
      <alignment horizontal="center"/>
      <protection hidden="1"/>
    </xf>
    <xf numFmtId="0" fontId="172" fillId="49" borderId="11" xfId="698" applyNumberFormat="1" applyFont="1" applyFill="1" applyBorder="1" applyAlignment="1" applyProtection="1">
      <alignment horizontal="center"/>
      <protection hidden="1"/>
    </xf>
    <xf numFmtId="0" fontId="172" fillId="48" borderId="11" xfId="569" applyFont="1" applyFill="1" applyBorder="1" applyAlignment="1" applyProtection="1">
      <alignment horizontal="center"/>
      <protection locked="0"/>
    </xf>
    <xf numFmtId="14" fontId="171" fillId="48" borderId="11" xfId="700" applyNumberFormat="1" applyFont="1" applyFill="1" applyBorder="1" applyAlignment="1" applyProtection="1">
      <alignment horizontal="center"/>
      <protection locked="0"/>
    </xf>
    <xf numFmtId="168" fontId="172" fillId="48" borderId="11" xfId="700" applyNumberFormat="1" applyFont="1" applyFill="1" applyBorder="1" applyAlignment="1" applyProtection="1">
      <alignment horizontal="center"/>
      <protection locked="0"/>
    </xf>
    <xf numFmtId="9" fontId="172" fillId="48" borderId="11" xfId="1022" applyFont="1" applyFill="1" applyBorder="1" applyAlignment="1" applyProtection="1">
      <alignment horizontal="center"/>
      <protection locked="0"/>
    </xf>
    <xf numFmtId="44" fontId="171" fillId="48" borderId="11" xfId="700" applyFont="1" applyFill="1" applyBorder="1" applyAlignment="1" applyProtection="1">
      <alignment horizontal="center"/>
      <protection locked="0"/>
    </xf>
    <xf numFmtId="0" fontId="170" fillId="47" borderId="65" xfId="8736" applyFont="1" applyFill="1" applyBorder="1" applyAlignment="1">
      <alignment horizontal="center"/>
    </xf>
    <xf numFmtId="0" fontId="170" fillId="47" borderId="29" xfId="8736" applyFont="1" applyFill="1" applyBorder="1" applyAlignment="1">
      <alignment horizontal="center"/>
    </xf>
    <xf numFmtId="0" fontId="170" fillId="47" borderId="31" xfId="8736" applyFont="1" applyFill="1" applyBorder="1" applyAlignment="1">
      <alignment horizontal="center"/>
    </xf>
    <xf numFmtId="0" fontId="5" fillId="47" borderId="66" xfId="8736" applyFill="1" applyBorder="1" applyAlignment="1">
      <alignment horizontal="center"/>
    </xf>
    <xf numFmtId="0" fontId="5" fillId="47" borderId="0" xfId="8736" applyFill="1" applyAlignment="1">
      <alignment horizontal="center"/>
    </xf>
    <xf numFmtId="0" fontId="5" fillId="47" borderId="41" xfId="8736" applyFill="1" applyBorder="1" applyAlignment="1">
      <alignment horizontal="center"/>
    </xf>
    <xf numFmtId="0" fontId="169" fillId="47" borderId="66" xfId="8736" applyFont="1" applyFill="1" applyBorder="1" applyAlignment="1">
      <alignment horizontal="center"/>
    </xf>
    <xf numFmtId="0" fontId="169" fillId="47" borderId="0" xfId="8736" applyFont="1" applyFill="1" applyAlignment="1">
      <alignment horizontal="center"/>
    </xf>
    <xf numFmtId="0" fontId="169" fillId="47" borderId="41" xfId="8736" applyFont="1" applyFill="1" applyBorder="1" applyAlignment="1">
      <alignment horizontal="center"/>
    </xf>
    <xf numFmtId="0" fontId="106" fillId="47" borderId="66" xfId="8736" applyFont="1" applyFill="1" applyBorder="1" applyAlignment="1">
      <alignment horizontal="center"/>
    </xf>
    <xf numFmtId="0" fontId="106" fillId="47" borderId="41" xfId="8736" applyFont="1" applyFill="1" applyBorder="1" applyAlignment="1">
      <alignment horizontal="center"/>
    </xf>
    <xf numFmtId="0" fontId="106" fillId="47" borderId="0" xfId="8736" applyFont="1" applyFill="1" applyAlignment="1">
      <alignment horizontal="left"/>
    </xf>
    <xf numFmtId="43" fontId="169" fillId="49" borderId="72" xfId="698" applyFont="1" applyFill="1" applyBorder="1" applyAlignment="1" applyProtection="1">
      <alignment horizontal="right"/>
      <protection hidden="1"/>
    </xf>
    <xf numFmtId="43" fontId="169" fillId="49" borderId="11" xfId="698" applyFont="1" applyFill="1" applyBorder="1" applyAlignment="1" applyProtection="1">
      <alignment horizontal="right"/>
      <protection hidden="1"/>
    </xf>
    <xf numFmtId="44" fontId="169" fillId="0" borderId="11" xfId="700" applyFont="1" applyBorder="1" applyAlignment="1" applyProtection="1">
      <alignment horizontal="center"/>
      <protection hidden="1"/>
    </xf>
    <xf numFmtId="168" fontId="169" fillId="0" borderId="11" xfId="700" applyNumberFormat="1" applyFont="1" applyBorder="1" applyAlignment="1" applyProtection="1">
      <alignment horizontal="center"/>
      <protection hidden="1"/>
    </xf>
    <xf numFmtId="9" fontId="169" fillId="0" borderId="11" xfId="1022" applyFont="1" applyBorder="1" applyAlignment="1" applyProtection="1">
      <alignment horizontal="center"/>
      <protection hidden="1"/>
    </xf>
    <xf numFmtId="43" fontId="169" fillId="49" borderId="3" xfId="698" applyFont="1" applyFill="1" applyBorder="1" applyAlignment="1" applyProtection="1">
      <alignment horizontal="center"/>
      <protection hidden="1"/>
    </xf>
    <xf numFmtId="43" fontId="169" fillId="49" borderId="4" xfId="698" applyFont="1" applyFill="1" applyBorder="1" applyAlignment="1" applyProtection="1">
      <alignment horizontal="center"/>
      <protection hidden="1"/>
    </xf>
    <xf numFmtId="43" fontId="169" fillId="49" borderId="81" xfId="698" applyFont="1" applyFill="1" applyBorder="1" applyAlignment="1" applyProtection="1">
      <alignment horizontal="center"/>
      <protection hidden="1"/>
    </xf>
    <xf numFmtId="0" fontId="106" fillId="44" borderId="0" xfId="8736" applyFont="1" applyFill="1" applyAlignment="1">
      <alignment horizontal="left"/>
    </xf>
    <xf numFmtId="0" fontId="2" fillId="48" borderId="80" xfId="8736" applyFont="1" applyFill="1" applyBorder="1" applyAlignment="1" applyProtection="1">
      <alignment horizontal="left"/>
      <protection locked="0"/>
    </xf>
    <xf numFmtId="0" fontId="5" fillId="48" borderId="79" xfId="8736" applyFill="1" applyBorder="1" applyAlignment="1" applyProtection="1">
      <alignment horizontal="left"/>
      <protection locked="0"/>
    </xf>
    <xf numFmtId="0" fontId="5" fillId="48" borderId="78" xfId="8736" applyFill="1" applyBorder="1" applyAlignment="1" applyProtection="1">
      <alignment horizontal="left"/>
      <protection locked="0"/>
    </xf>
    <xf numFmtId="0" fontId="168" fillId="44" borderId="0" xfId="8736" applyFont="1" applyFill="1" applyAlignment="1">
      <alignment horizontal="left" vertical="top"/>
    </xf>
    <xf numFmtId="0" fontId="106" fillId="44" borderId="0" xfId="8730" applyFont="1" applyFill="1" applyBorder="1" applyAlignment="1">
      <alignment horizontal="left" vertical="top"/>
    </xf>
    <xf numFmtId="14" fontId="5" fillId="48" borderId="80" xfId="8736" applyNumberFormat="1" applyFill="1" applyBorder="1" applyAlignment="1" applyProtection="1">
      <alignment horizontal="center"/>
      <protection locked="0"/>
    </xf>
    <xf numFmtId="14" fontId="5" fillId="48" borderId="79" xfId="8736" applyNumberFormat="1" applyFill="1" applyBorder="1" applyAlignment="1" applyProtection="1">
      <alignment horizontal="center"/>
      <protection locked="0"/>
    </xf>
    <xf numFmtId="14" fontId="5" fillId="48" borderId="78" xfId="8736" applyNumberFormat="1" applyFill="1" applyBorder="1" applyAlignment="1" applyProtection="1">
      <alignment horizontal="center"/>
      <protection locked="0"/>
    </xf>
    <xf numFmtId="0" fontId="169" fillId="47" borderId="0" xfId="8736" applyFont="1" applyFill="1" applyAlignment="1">
      <alignment horizontal="left" vertical="top" wrapText="1"/>
    </xf>
    <xf numFmtId="0" fontId="106" fillId="47" borderId="42" xfId="8736" applyFont="1" applyFill="1" applyBorder="1" applyAlignment="1">
      <alignment horizontal="center"/>
    </xf>
    <xf numFmtId="0" fontId="5" fillId="48" borderId="80" xfId="8736" applyFill="1" applyBorder="1" applyAlignment="1" applyProtection="1">
      <alignment horizontal="center"/>
      <protection locked="0"/>
    </xf>
    <xf numFmtId="0" fontId="5" fillId="48" borderId="79" xfId="8736" applyFill="1" applyBorder="1" applyAlignment="1" applyProtection="1">
      <alignment horizontal="center"/>
      <protection locked="0"/>
    </xf>
    <xf numFmtId="0" fontId="5" fillId="48" borderId="78" xfId="8736" applyFill="1" applyBorder="1" applyAlignment="1" applyProtection="1">
      <alignment horizontal="center"/>
      <protection locked="0"/>
    </xf>
    <xf numFmtId="168" fontId="21" fillId="0" borderId="11" xfId="569" applyNumberFormat="1" applyBorder="1"/>
    <xf numFmtId="168" fontId="21" fillId="0" borderId="3" xfId="569" applyNumberFormat="1" applyBorder="1"/>
    <xf numFmtId="168" fontId="21" fillId="0" borderId="4" xfId="569" applyNumberFormat="1" applyBorder="1"/>
    <xf numFmtId="168" fontId="21" fillId="0" borderId="5" xfId="569" applyNumberFormat="1" applyBorder="1"/>
    <xf numFmtId="168" fontId="21" fillId="0" borderId="11" xfId="569" applyNumberFormat="1" applyBorder="1" applyAlignment="1">
      <alignment wrapText="1"/>
    </xf>
    <xf numFmtId="168" fontId="21" fillId="0" borderId="11" xfId="569" applyNumberFormat="1" applyBorder="1" applyAlignment="1">
      <alignment horizontal="right"/>
    </xf>
    <xf numFmtId="9" fontId="21" fillId="0" borderId="15" xfId="569" applyNumberFormat="1" applyBorder="1" applyAlignment="1">
      <alignment horizontal="center"/>
    </xf>
    <xf numFmtId="168" fontId="21" fillId="0" borderId="11" xfId="569" applyNumberFormat="1" applyBorder="1" applyAlignment="1">
      <alignment horizontal="center"/>
    </xf>
    <xf numFmtId="0" fontId="21" fillId="0" borderId="11" xfId="569" applyBorder="1" applyAlignment="1">
      <alignment horizontal="center"/>
    </xf>
    <xf numFmtId="176" fontId="21" fillId="5" borderId="3" xfId="569" applyNumberFormat="1" applyFill="1" applyBorder="1" applyAlignment="1" applyProtection="1">
      <alignment horizontal="right"/>
      <protection locked="0"/>
    </xf>
    <xf numFmtId="176" fontId="21" fillId="5" borderId="4" xfId="569" applyNumberFormat="1" applyFill="1" applyBorder="1" applyAlignment="1" applyProtection="1">
      <alignment horizontal="right"/>
      <protection locked="0"/>
    </xf>
    <xf numFmtId="176" fontId="21" fillId="5" borderId="5" xfId="569" applyNumberFormat="1" applyFill="1" applyBorder="1" applyAlignment="1" applyProtection="1">
      <alignment horizontal="right"/>
      <protection locked="0"/>
    </xf>
    <xf numFmtId="0" fontId="111" fillId="0" borderId="0" xfId="0" applyFont="1" applyAlignment="1">
      <alignment horizontal="left" vertical="top" wrapText="1"/>
    </xf>
    <xf numFmtId="0" fontId="28" fillId="0" borderId="3" xfId="569" applyFont="1" applyBorder="1" applyAlignment="1">
      <alignment horizontal="right"/>
    </xf>
    <xf numFmtId="0" fontId="28" fillId="0" borderId="4" xfId="569" applyFont="1" applyBorder="1" applyAlignment="1">
      <alignment horizontal="right"/>
    </xf>
    <xf numFmtId="0" fontId="28" fillId="0" borderId="5" xfId="569" applyFont="1" applyBorder="1" applyAlignment="1">
      <alignment horizontal="right"/>
    </xf>
    <xf numFmtId="0" fontId="28" fillId="0" borderId="6" xfId="569" applyFont="1" applyBorder="1" applyAlignment="1">
      <alignment horizontal="center"/>
    </xf>
    <xf numFmtId="168" fontId="21" fillId="0" borderId="3" xfId="569" applyNumberFormat="1" applyBorder="1" applyAlignment="1">
      <alignment horizontal="center"/>
    </xf>
    <xf numFmtId="0" fontId="21" fillId="0" borderId="4" xfId="569" applyBorder="1" applyAlignment="1">
      <alignment horizontal="center"/>
    </xf>
    <xf numFmtId="0" fontId="21" fillId="0" borderId="5" xfId="569" applyBorder="1" applyAlignment="1">
      <alignment horizontal="center"/>
    </xf>
    <xf numFmtId="0" fontId="111" fillId="0" borderId="0" xfId="569" applyFont="1" applyAlignment="1">
      <alignment horizontal="left" wrapText="1"/>
    </xf>
    <xf numFmtId="168" fontId="21" fillId="0" borderId="3" xfId="569" applyNumberFormat="1" applyBorder="1" applyAlignment="1">
      <alignment horizontal="right"/>
    </xf>
    <xf numFmtId="168" fontId="21" fillId="0" borderId="4" xfId="569" applyNumberFormat="1" applyBorder="1" applyAlignment="1">
      <alignment horizontal="right"/>
    </xf>
    <xf numFmtId="168" fontId="21" fillId="0" borderId="5" xfId="569" applyNumberFormat="1" applyBorder="1" applyAlignment="1">
      <alignment horizontal="right"/>
    </xf>
    <xf numFmtId="0" fontId="28" fillId="0" borderId="16" xfId="271" applyFont="1" applyBorder="1" applyAlignment="1">
      <alignment horizontal="center"/>
    </xf>
    <xf numFmtId="168" fontId="21" fillId="0" borderId="4" xfId="569" applyNumberFormat="1" applyBorder="1" applyAlignment="1">
      <alignment horizontal="center"/>
    </xf>
    <xf numFmtId="168" fontId="21" fillId="0" borderId="5" xfId="569" applyNumberFormat="1" applyBorder="1" applyAlignment="1">
      <alignment horizontal="center"/>
    </xf>
    <xf numFmtId="0" fontId="28" fillId="0" borderId="11" xfId="569" applyFont="1" applyBorder="1" applyAlignment="1">
      <alignment horizontal="center" wrapText="1"/>
    </xf>
    <xf numFmtId="0" fontId="28" fillId="0" borderId="11" xfId="569" applyFont="1" applyBorder="1" applyAlignment="1">
      <alignment horizontal="center"/>
    </xf>
    <xf numFmtId="165" fontId="21" fillId="0" borderId="11" xfId="569" applyNumberFormat="1" applyBorder="1" applyAlignment="1" applyProtection="1">
      <alignment horizontal="center"/>
      <protection locked="0"/>
    </xf>
    <xf numFmtId="0" fontId="57" fillId="0" borderId="0" xfId="569" applyFont="1" applyAlignment="1">
      <alignment horizontal="left"/>
    </xf>
    <xf numFmtId="5" fontId="21" fillId="0" borderId="5" xfId="569" applyNumberFormat="1" applyBorder="1" applyAlignment="1">
      <alignment horizontal="center"/>
    </xf>
    <xf numFmtId="5" fontId="21" fillId="0" borderId="11" xfId="569" applyNumberFormat="1" applyBorder="1" applyAlignment="1">
      <alignment horizontal="center"/>
    </xf>
    <xf numFmtId="5" fontId="21" fillId="0" borderId="3" xfId="569" applyNumberFormat="1" applyBorder="1" applyAlignment="1">
      <alignment horizontal="center"/>
    </xf>
    <xf numFmtId="5" fontId="21" fillId="0" borderId="4" xfId="569" applyNumberFormat="1" applyBorder="1" applyAlignment="1">
      <alignment horizontal="center"/>
    </xf>
    <xf numFmtId="168" fontId="21" fillId="5" borderId="5" xfId="569" applyNumberFormat="1" applyFill="1" applyBorder="1" applyAlignment="1" applyProtection="1">
      <alignment horizontal="center"/>
      <protection locked="0"/>
    </xf>
    <xf numFmtId="168" fontId="21" fillId="5" borderId="11" xfId="569" applyNumberFormat="1" applyFill="1" applyBorder="1" applyAlignment="1" applyProtection="1">
      <alignment horizontal="center"/>
      <protection locked="0"/>
    </xf>
    <xf numFmtId="9" fontId="21" fillId="0" borderId="5" xfId="569" applyNumberFormat="1" applyBorder="1" applyAlignment="1">
      <alignment horizontal="center"/>
    </xf>
    <xf numFmtId="9" fontId="21" fillId="0" borderId="11" xfId="569" applyNumberFormat="1" applyBorder="1" applyAlignment="1">
      <alignment horizontal="center"/>
    </xf>
    <xf numFmtId="9" fontId="21" fillId="0" borderId="9" xfId="569" applyNumberFormat="1" applyBorder="1" applyAlignment="1">
      <alignment horizontal="center" vertical="center"/>
    </xf>
    <xf numFmtId="9" fontId="21" fillId="0" borderId="6" xfId="569" applyNumberFormat="1" applyBorder="1" applyAlignment="1">
      <alignment horizontal="center" vertical="center"/>
    </xf>
    <xf numFmtId="9" fontId="21" fillId="0" borderId="10" xfId="569" applyNumberFormat="1" applyBorder="1" applyAlignment="1">
      <alignment horizontal="center" vertical="center"/>
    </xf>
    <xf numFmtId="168" fontId="21" fillId="2" borderId="3" xfId="569" applyNumberFormat="1" applyFill="1" applyBorder="1" applyAlignment="1">
      <alignment horizontal="center"/>
    </xf>
    <xf numFmtId="168" fontId="21" fillId="2" borderId="4" xfId="569" applyNumberFormat="1" applyFill="1" applyBorder="1" applyAlignment="1">
      <alignment horizontal="center"/>
    </xf>
    <xf numFmtId="168" fontId="21" fillId="2" borderId="5" xfId="569" applyNumberFormat="1" applyFill="1" applyBorder="1" applyAlignment="1">
      <alignment horizontal="center"/>
    </xf>
    <xf numFmtId="168" fontId="21" fillId="5" borderId="10" xfId="569" applyNumberFormat="1" applyFill="1" applyBorder="1" applyAlignment="1" applyProtection="1">
      <alignment horizontal="center"/>
      <protection locked="0"/>
    </xf>
    <xf numFmtId="168" fontId="21" fillId="5" borderId="13" xfId="569" applyNumberFormat="1" applyFill="1" applyBorder="1" applyAlignment="1" applyProtection="1">
      <alignment horizontal="center"/>
      <protection locked="0"/>
    </xf>
    <xf numFmtId="0" fontId="27" fillId="3" borderId="2" xfId="569" applyFont="1" applyFill="1" applyBorder="1" applyAlignment="1">
      <alignment horizontal="center" vertical="center"/>
    </xf>
    <xf numFmtId="0" fontId="27" fillId="3" borderId="16" xfId="569" applyFont="1" applyFill="1" applyBorder="1" applyAlignment="1">
      <alignment horizontal="center" vertical="center"/>
    </xf>
    <xf numFmtId="168" fontId="21" fillId="0" borderId="7" xfId="569" applyNumberFormat="1" applyBorder="1" applyAlignment="1">
      <alignment horizontal="center"/>
    </xf>
    <xf numFmtId="168" fontId="21" fillId="0" borderId="15" xfId="569" applyNumberFormat="1" applyBorder="1" applyAlignment="1">
      <alignment horizontal="center"/>
    </xf>
    <xf numFmtId="0" fontId="28" fillId="0" borderId="3" xfId="569" applyFont="1" applyBorder="1" applyAlignment="1">
      <alignment horizontal="left"/>
    </xf>
    <xf numFmtId="0" fontId="28" fillId="0" borderId="5" xfId="569" applyFont="1" applyBorder="1" applyAlignment="1">
      <alignment horizontal="left"/>
    </xf>
    <xf numFmtId="0" fontId="29" fillId="0" borderId="4" xfId="569" applyFont="1" applyBorder="1" applyAlignment="1">
      <alignment horizontal="left"/>
    </xf>
    <xf numFmtId="0" fontId="29" fillId="0" borderId="5" xfId="569" applyFont="1" applyBorder="1" applyAlignment="1">
      <alignment horizontal="left"/>
    </xf>
    <xf numFmtId="179" fontId="28" fillId="0" borderId="0" xfId="569" applyNumberFormat="1" applyFont="1" applyAlignment="1">
      <alignment horizontal="center" wrapText="1"/>
    </xf>
    <xf numFmtId="164" fontId="28" fillId="0" borderId="0" xfId="569" applyNumberFormat="1" applyFont="1" applyAlignment="1">
      <alignment horizontal="center" wrapText="1"/>
    </xf>
    <xf numFmtId="0" fontId="21" fillId="0" borderId="3" xfId="569" applyBorder="1" applyAlignment="1">
      <alignment horizontal="right"/>
    </xf>
    <xf numFmtId="0" fontId="21" fillId="0" borderId="4" xfId="569" applyBorder="1" applyAlignment="1">
      <alignment horizontal="right"/>
    </xf>
    <xf numFmtId="0" fontId="21" fillId="0" borderId="5" xfId="569" applyBorder="1" applyAlignment="1">
      <alignment horizontal="right"/>
    </xf>
    <xf numFmtId="0" fontId="29" fillId="0" borderId="3" xfId="569" applyFont="1" applyBorder="1" applyAlignment="1">
      <alignment horizontal="right"/>
    </xf>
    <xf numFmtId="0" fontId="29" fillId="0" borderId="4" xfId="569" applyFont="1" applyBorder="1" applyAlignment="1">
      <alignment horizontal="right"/>
    </xf>
    <xf numFmtId="0" fontId="29" fillId="0" borderId="5" xfId="569" applyFont="1" applyBorder="1" applyAlignment="1">
      <alignment horizontal="right"/>
    </xf>
    <xf numFmtId="0" fontId="29" fillId="0" borderId="0" xfId="4495" applyFont="1" applyAlignment="1">
      <alignment horizontal="left" vertical="top" wrapText="1"/>
    </xf>
    <xf numFmtId="0" fontId="126" fillId="5" borderId="6" xfId="4496" applyFont="1" applyFill="1" applyBorder="1" applyAlignment="1" applyProtection="1">
      <alignment horizontal="center"/>
      <protection locked="0"/>
    </xf>
    <xf numFmtId="0" fontId="21" fillId="0" borderId="50" xfId="4495" applyFont="1" applyBorder="1" applyAlignment="1">
      <alignment vertical="center" wrapText="1"/>
    </xf>
    <xf numFmtId="0" fontId="21" fillId="0" borderId="51" xfId="4495" applyFont="1" applyBorder="1" applyAlignment="1">
      <alignment vertical="center" wrapText="1"/>
    </xf>
    <xf numFmtId="0" fontId="21" fillId="0" borderId="52" xfId="4495" applyFont="1" applyBorder="1" applyAlignment="1">
      <alignment vertical="center" wrapText="1"/>
    </xf>
    <xf numFmtId="0" fontId="21" fillId="0" borderId="57" xfId="4495" applyFont="1" applyBorder="1" applyAlignment="1">
      <alignment vertical="center" wrapText="1"/>
    </xf>
    <xf numFmtId="0" fontId="21" fillId="0" borderId="58" xfId="4495" applyFont="1" applyBorder="1" applyAlignment="1">
      <alignment vertical="center" wrapText="1"/>
    </xf>
    <xf numFmtId="0" fontId="21" fillId="0" borderId="59" xfId="4495" applyFont="1" applyBorder="1" applyAlignment="1">
      <alignment vertical="center" wrapText="1"/>
    </xf>
    <xf numFmtId="0" fontId="21" fillId="0" borderId="47" xfId="4495" applyFont="1" applyBorder="1" applyAlignment="1">
      <alignment horizontal="left" vertical="center" wrapText="1"/>
    </xf>
    <xf numFmtId="0" fontId="21" fillId="0" borderId="48" xfId="4495" applyFont="1" applyBorder="1" applyAlignment="1">
      <alignment horizontal="left" vertical="center" wrapText="1"/>
    </xf>
    <xf numFmtId="0" fontId="21" fillId="0" borderId="49" xfId="4495" applyFont="1" applyBorder="1" applyAlignment="1">
      <alignment horizontal="left" vertical="center" wrapText="1"/>
    </xf>
    <xf numFmtId="0" fontId="126" fillId="0" borderId="50" xfId="4496" applyFont="1" applyBorder="1" applyAlignment="1">
      <alignment horizontal="left" vertical="top" wrapText="1"/>
    </xf>
    <xf numFmtId="0" fontId="126" fillId="0" borderId="51" xfId="4496" applyFont="1" applyBorder="1" applyAlignment="1">
      <alignment horizontal="left" vertical="top" wrapText="1"/>
    </xf>
    <xf numFmtId="0" fontId="126" fillId="0" borderId="52" xfId="4496" applyFont="1" applyBorder="1" applyAlignment="1">
      <alignment horizontal="left" vertical="top" wrapText="1"/>
    </xf>
    <xf numFmtId="0" fontId="126" fillId="0" borderId="57" xfId="4496" applyFont="1" applyBorder="1" applyAlignment="1">
      <alignment horizontal="left" vertical="top" wrapText="1"/>
    </xf>
    <xf numFmtId="0" fontId="126" fillId="0" borderId="58" xfId="4496" applyFont="1" applyBorder="1" applyAlignment="1">
      <alignment horizontal="left" vertical="top" wrapText="1"/>
    </xf>
    <xf numFmtId="0" fontId="126" fillId="0" borderId="59" xfId="4496" applyFont="1" applyBorder="1" applyAlignment="1">
      <alignment horizontal="left" vertical="top" wrapText="1"/>
    </xf>
    <xf numFmtId="0" fontId="21" fillId="0" borderId="50" xfId="4495" applyFont="1" applyBorder="1" applyAlignment="1">
      <alignment horizontal="left" vertical="center" wrapText="1"/>
    </xf>
    <xf numFmtId="0" fontId="21" fillId="0" borderId="51" xfId="4495" applyFont="1" applyBorder="1" applyAlignment="1">
      <alignment horizontal="left" vertical="center" wrapText="1"/>
    </xf>
    <xf numFmtId="0" fontId="21" fillId="0" borderId="52" xfId="4495" applyFont="1" applyBorder="1" applyAlignment="1">
      <alignment horizontal="left" vertical="center" wrapText="1"/>
    </xf>
    <xf numFmtId="0" fontId="21" fillId="0" borderId="57" xfId="4495" applyFont="1" applyBorder="1" applyAlignment="1">
      <alignment horizontal="left" vertical="center" wrapText="1"/>
    </xf>
    <xf numFmtId="0" fontId="21" fillId="0" borderId="58" xfId="4495" applyFont="1" applyBorder="1" applyAlignment="1">
      <alignment horizontal="left" vertical="center" wrapText="1"/>
    </xf>
    <xf numFmtId="0" fontId="21" fillId="0" borderId="59" xfId="4495" applyFont="1" applyBorder="1" applyAlignment="1">
      <alignment horizontal="left" vertical="center" wrapText="1"/>
    </xf>
    <xf numFmtId="165" fontId="126" fillId="0" borderId="55" xfId="4496" applyNumberFormat="1" applyFont="1" applyBorder="1" applyAlignment="1">
      <alignment horizontal="center" vertical="top" wrapText="1"/>
    </xf>
    <xf numFmtId="165" fontId="126" fillId="0" borderId="6" xfId="4496" applyNumberFormat="1" applyFont="1" applyBorder="1" applyAlignment="1">
      <alignment horizontal="center" vertical="top" wrapText="1"/>
    </xf>
    <xf numFmtId="165" fontId="126" fillId="0" borderId="60" xfId="4496" applyNumberFormat="1" applyFont="1" applyBorder="1" applyAlignment="1">
      <alignment horizontal="center" vertical="top" wrapText="1"/>
    </xf>
    <xf numFmtId="165" fontId="126" fillId="0" borderId="4" xfId="4496" applyNumberFormat="1" applyFont="1" applyBorder="1" applyAlignment="1">
      <alignment horizontal="center" vertical="top" wrapText="1"/>
    </xf>
    <xf numFmtId="0" fontId="126" fillId="5" borderId="60" xfId="4496" applyFont="1" applyFill="1" applyBorder="1" applyAlignment="1" applyProtection="1">
      <alignment horizontal="center"/>
      <protection locked="0"/>
    </xf>
    <xf numFmtId="0" fontId="126" fillId="5" borderId="4" xfId="4496" applyFont="1" applyFill="1" applyBorder="1" applyAlignment="1" applyProtection="1">
      <alignment horizontal="center"/>
      <protection locked="0"/>
    </xf>
    <xf numFmtId="0" fontId="28" fillId="0" borderId="0" xfId="4495" applyFont="1" applyAlignment="1">
      <alignment horizontal="right"/>
    </xf>
    <xf numFmtId="0" fontId="126" fillId="0" borderId="53" xfId="4496" applyFont="1" applyBorder="1" applyAlignment="1">
      <alignment horizontal="left" vertical="top" wrapText="1"/>
    </xf>
    <xf numFmtId="0" fontId="126" fillId="0" borderId="0" xfId="4496" applyFont="1" applyAlignment="1">
      <alignment horizontal="left" vertical="top" wrapText="1"/>
    </xf>
    <xf numFmtId="0" fontId="126" fillId="0" borderId="54" xfId="4496" applyFont="1" applyBorder="1" applyAlignment="1">
      <alignment horizontal="left" vertical="top" wrapText="1"/>
    </xf>
    <xf numFmtId="0" fontId="126" fillId="5" borderId="55" xfId="4496" applyFont="1" applyFill="1" applyBorder="1" applyAlignment="1" applyProtection="1">
      <alignment horizontal="center"/>
      <protection locked="0"/>
    </xf>
    <xf numFmtId="168" fontId="126" fillId="0" borderId="55" xfId="4496" applyNumberFormat="1" applyFont="1" applyBorder="1" applyAlignment="1">
      <alignment horizontal="center" vertical="top"/>
    </xf>
    <xf numFmtId="168" fontId="126" fillId="0" borderId="6" xfId="4496" applyNumberFormat="1" applyFont="1" applyBorder="1" applyAlignment="1">
      <alignment horizontal="center" vertical="top"/>
    </xf>
    <xf numFmtId="0" fontId="27" fillId="3" borderId="2" xfId="4495" applyFont="1" applyFill="1" applyBorder="1" applyAlignment="1">
      <alignment horizontal="center" vertical="center"/>
    </xf>
    <xf numFmtId="0" fontId="27" fillId="3" borderId="16" xfId="4495" applyFont="1" applyFill="1" applyBorder="1" applyAlignment="1">
      <alignment horizontal="center" vertical="center"/>
    </xf>
    <xf numFmtId="0" fontId="28" fillId="0" borderId="48" xfId="4495" applyFont="1" applyBorder="1" applyAlignment="1">
      <alignment horizontal="left" vertical="top"/>
    </xf>
    <xf numFmtId="0" fontId="28" fillId="0" borderId="49" xfId="4495" applyFont="1" applyBorder="1" applyAlignment="1">
      <alignment horizontal="left" vertical="top"/>
    </xf>
    <xf numFmtId="1" fontId="21" fillId="0" borderId="3" xfId="4495" applyNumberFormat="1" applyFont="1" applyBorder="1" applyAlignment="1">
      <alignment horizontal="center"/>
    </xf>
    <xf numFmtId="1" fontId="21" fillId="0" borderId="4" xfId="4495" applyNumberFormat="1" applyFont="1" applyBorder="1" applyAlignment="1">
      <alignment horizontal="center"/>
    </xf>
    <xf numFmtId="1" fontId="21" fillId="0" borderId="5" xfId="4495" applyNumberFormat="1" applyFont="1" applyBorder="1" applyAlignment="1">
      <alignment horizontal="center"/>
    </xf>
    <xf numFmtId="0" fontId="21" fillId="0" borderId="53" xfId="4495" applyFont="1" applyBorder="1" applyAlignment="1">
      <alignment vertical="center" wrapText="1"/>
    </xf>
    <xf numFmtId="0" fontId="21" fillId="0" borderId="0" xfId="4495" applyFont="1" applyAlignment="1">
      <alignment vertical="center" wrapText="1"/>
    </xf>
    <xf numFmtId="0" fontId="21" fillId="0" borderId="54" xfId="4495" applyFont="1" applyBorder="1" applyAlignment="1">
      <alignment vertical="center" wrapText="1"/>
    </xf>
    <xf numFmtId="0" fontId="21" fillId="0" borderId="53" xfId="4495" applyFont="1" applyBorder="1" applyAlignment="1">
      <alignment horizontal="left" vertical="center" wrapText="1"/>
    </xf>
    <xf numFmtId="0" fontId="21" fillId="0" borderId="0" xfId="4495" applyFont="1" applyAlignment="1">
      <alignment horizontal="left" vertical="center" wrapText="1"/>
    </xf>
    <xf numFmtId="0" fontId="21" fillId="0" borderId="54" xfId="4495" applyFont="1" applyBorder="1" applyAlignment="1">
      <alignment horizontal="left" vertical="center" wrapText="1"/>
    </xf>
    <xf numFmtId="10" fontId="126" fillId="0" borderId="3" xfId="4496" applyNumberFormat="1" applyFont="1" applyBorder="1" applyAlignment="1">
      <alignment horizontal="center" vertical="top" wrapText="1"/>
    </xf>
    <xf numFmtId="10" fontId="126" fillId="0" borderId="4" xfId="4496" applyNumberFormat="1" applyFont="1" applyBorder="1" applyAlignment="1">
      <alignment horizontal="center" vertical="top" wrapText="1"/>
    </xf>
    <xf numFmtId="10" fontId="126" fillId="0" borderId="5" xfId="4496" applyNumberFormat="1" applyFont="1" applyBorder="1" applyAlignment="1">
      <alignment horizontal="center" vertical="top" wrapText="1"/>
    </xf>
    <xf numFmtId="0" fontId="126" fillId="0" borderId="55" xfId="4496" applyFont="1" applyBorder="1" applyAlignment="1">
      <alignment horizontal="center" vertical="top" wrapText="1"/>
    </xf>
    <xf numFmtId="0" fontId="126" fillId="0" borderId="6" xfId="4496" applyFont="1" applyBorder="1" applyAlignment="1">
      <alignment horizontal="center" vertical="top" wrapText="1"/>
    </xf>
    <xf numFmtId="168" fontId="21" fillId="0" borderId="0" xfId="1192" applyNumberFormat="1" applyAlignment="1">
      <alignment horizontal="right"/>
    </xf>
    <xf numFmtId="1" fontId="21" fillId="5" borderId="2" xfId="1192" applyNumberFormat="1" applyFill="1" applyBorder="1" applyAlignment="1" applyProtection="1">
      <alignment horizontal="center"/>
      <protection locked="0"/>
    </xf>
    <xf numFmtId="1" fontId="21" fillId="5" borderId="4" xfId="1192" applyNumberFormat="1" applyFill="1" applyBorder="1" applyAlignment="1" applyProtection="1">
      <alignment horizontal="center"/>
      <protection locked="0"/>
    </xf>
    <xf numFmtId="0" fontId="145" fillId="0" borderId="6" xfId="1192" applyFont="1" applyBorder="1" applyAlignment="1">
      <alignment horizontal="center"/>
    </xf>
    <xf numFmtId="1" fontId="126" fillId="0" borderId="55" xfId="4496" applyNumberFormat="1" applyFont="1" applyBorder="1" applyAlignment="1">
      <alignment horizontal="center" vertical="top" wrapText="1"/>
    </xf>
    <xf numFmtId="1" fontId="126" fillId="0" borderId="6" xfId="4496" applyNumberFormat="1" applyFont="1" applyBorder="1" applyAlignment="1">
      <alignment horizontal="center" vertical="top" wrapText="1"/>
    </xf>
    <xf numFmtId="168" fontId="126" fillId="43" borderId="55" xfId="4496" applyNumberFormat="1" applyFont="1" applyFill="1" applyBorder="1" applyAlignment="1" applyProtection="1">
      <alignment horizontal="center" vertical="top" wrapText="1"/>
      <protection locked="0"/>
    </xf>
    <xf numFmtId="168" fontId="126" fillId="43" borderId="6" xfId="4496" applyNumberFormat="1" applyFont="1" applyFill="1" applyBorder="1" applyAlignment="1" applyProtection="1">
      <alignment horizontal="center" vertical="top" wrapText="1"/>
      <protection locked="0"/>
    </xf>
    <xf numFmtId="0" fontId="28" fillId="0" borderId="0" xfId="4495" applyFont="1" applyAlignment="1">
      <alignment horizontal="center" vertical="top"/>
    </xf>
    <xf numFmtId="0" fontId="21" fillId="0" borderId="0" xfId="1192" applyAlignment="1">
      <alignment horizontal="right"/>
    </xf>
    <xf numFmtId="0" fontId="21" fillId="5" borderId="6" xfId="1192" applyFill="1" applyBorder="1" applyAlignment="1" applyProtection="1">
      <alignment horizontal="left"/>
      <protection locked="0"/>
    </xf>
    <xf numFmtId="168" fontId="21" fillId="43" borderId="6" xfId="4495" applyNumberFormat="1" applyFont="1" applyFill="1" applyBorder="1" applyAlignment="1" applyProtection="1">
      <alignment horizontal="right"/>
      <protection locked="0"/>
    </xf>
    <xf numFmtId="9" fontId="21" fillId="0" borderId="6" xfId="1192" applyNumberFormat="1" applyBorder="1" applyAlignment="1">
      <alignment horizontal="center"/>
    </xf>
    <xf numFmtId="9" fontId="21" fillId="0" borderId="6" xfId="1192" quotePrefix="1" applyNumberFormat="1" applyBorder="1" applyAlignment="1">
      <alignment horizontal="center"/>
    </xf>
    <xf numFmtId="9" fontId="21" fillId="0" borderId="0" xfId="1192" quotePrefix="1" applyNumberFormat="1" applyAlignment="1">
      <alignment horizontal="center"/>
    </xf>
    <xf numFmtId="9" fontId="21" fillId="5" borderId="4" xfId="1192" applyNumberFormat="1" applyFill="1" applyBorder="1" applyAlignment="1" applyProtection="1">
      <alignment horizontal="left"/>
      <protection locked="0"/>
    </xf>
    <xf numFmtId="0" fontId="29" fillId="5" borderId="6" xfId="4495" applyFont="1" applyFill="1" applyBorder="1" applyAlignment="1" applyProtection="1">
      <alignment horizontal="left"/>
      <protection locked="0"/>
    </xf>
    <xf numFmtId="0" fontId="21" fillId="0" borderId="0" xfId="4495" applyFont="1" applyAlignment="1">
      <alignment horizontal="left"/>
    </xf>
    <xf numFmtId="0" fontId="21" fillId="5" borderId="6" xfId="4495" applyFont="1" applyFill="1" applyBorder="1" applyAlignment="1" applyProtection="1">
      <alignment horizontal="left"/>
      <protection locked="0"/>
    </xf>
    <xf numFmtId="0" fontId="57" fillId="5" borderId="6" xfId="4495" applyFont="1" applyFill="1" applyBorder="1" applyAlignment="1" applyProtection="1">
      <alignment horizontal="left"/>
      <protection locked="0"/>
    </xf>
    <xf numFmtId="0" fontId="21" fillId="5" borderId="6" xfId="4495" applyFont="1" applyFill="1" applyBorder="1" applyAlignment="1" applyProtection="1">
      <alignment horizontal="center"/>
      <protection locked="0"/>
    </xf>
    <xf numFmtId="0" fontId="21" fillId="44" borderId="6" xfId="4495" applyFont="1" applyFill="1" applyBorder="1" applyAlignment="1">
      <alignment horizontal="left"/>
    </xf>
    <xf numFmtId="1" fontId="21" fillId="0" borderId="11" xfId="4495" applyNumberFormat="1" applyFont="1" applyBorder="1" applyAlignment="1">
      <alignment horizontal="center"/>
    </xf>
    <xf numFmtId="0" fontId="21" fillId="0" borderId="11" xfId="4495" applyFont="1" applyBorder="1" applyAlignment="1">
      <alignment horizontal="center"/>
    </xf>
    <xf numFmtId="0" fontId="21" fillId="0" borderId="53" xfId="4495" applyFont="1" applyBorder="1" applyAlignment="1">
      <alignment horizontal="left" vertical="top" wrapText="1"/>
    </xf>
    <xf numFmtId="0" fontId="21" fillId="0" borderId="0" xfId="4495" applyFont="1" applyAlignment="1">
      <alignment horizontal="left" vertical="top" wrapText="1"/>
    </xf>
    <xf numFmtId="0" fontId="21" fillId="0" borderId="54" xfId="4495" applyFont="1" applyBorder="1" applyAlignment="1">
      <alignment horizontal="left" vertical="top" wrapText="1"/>
    </xf>
    <xf numFmtId="0" fontId="21" fillId="0" borderId="57" xfId="4495" applyFont="1" applyBorder="1" applyAlignment="1">
      <alignment horizontal="left" vertical="top" wrapText="1"/>
    </xf>
    <xf numFmtId="0" fontId="21" fillId="0" borderId="58" xfId="4495" applyFont="1" applyBorder="1" applyAlignment="1">
      <alignment horizontal="left" vertical="top" wrapText="1"/>
    </xf>
    <xf numFmtId="0" fontId="21" fillId="0" borderId="59" xfId="4495" applyFont="1" applyBorder="1" applyAlignment="1">
      <alignment horizontal="left" vertical="top" wrapText="1"/>
    </xf>
    <xf numFmtId="0" fontId="124" fillId="5" borderId="6" xfId="4495" applyFill="1" applyBorder="1" applyAlignment="1" applyProtection="1">
      <alignment horizontal="center"/>
      <protection locked="0"/>
    </xf>
    <xf numFmtId="0" fontId="28" fillId="0" borderId="0" xfId="4495" applyFont="1" applyAlignment="1">
      <alignment horizontal="left" vertical="top"/>
    </xf>
    <xf numFmtId="0" fontId="124" fillId="0" borderId="0" xfId="4495" applyAlignment="1" applyProtection="1">
      <alignment horizontal="center"/>
      <protection locked="0"/>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168" fontId="21" fillId="0" borderId="6" xfId="4496" applyNumberFormat="1" applyFont="1" applyBorder="1" applyAlignment="1">
      <alignment horizontal="center"/>
    </xf>
    <xf numFmtId="9" fontId="21" fillId="0" borderId="4" xfId="543" applyNumberFormat="1" applyBorder="1" applyAlignment="1">
      <alignment horizontal="center"/>
    </xf>
    <xf numFmtId="0" fontId="21" fillId="0" borderId="4" xfId="4496" applyFont="1" applyBorder="1" applyAlignment="1">
      <alignment horizontal="center"/>
    </xf>
    <xf numFmtId="0" fontId="21" fillId="0" borderId="5" xfId="4496" applyFont="1" applyBorder="1" applyAlignment="1">
      <alignment horizontal="center"/>
    </xf>
    <xf numFmtId="168" fontId="21" fillId="0" borderId="6" xfId="4495" applyNumberFormat="1" applyFont="1" applyBorder="1" applyAlignment="1">
      <alignment horizontal="right"/>
    </xf>
    <xf numFmtId="168" fontId="122" fillId="0" borderId="6" xfId="4495" applyNumberFormat="1" applyFont="1" applyBorder="1" applyAlignment="1">
      <alignment horizontal="right"/>
    </xf>
    <xf numFmtId="6" fontId="21" fillId="0" borderId="3" xfId="1192" applyNumberFormat="1" applyBorder="1" applyAlignment="1">
      <alignment horizontal="right"/>
    </xf>
    <xf numFmtId="6" fontId="21" fillId="0" borderId="4" xfId="1192" applyNumberFormat="1" applyBorder="1" applyAlignment="1">
      <alignment horizontal="right"/>
    </xf>
    <xf numFmtId="6" fontId="21" fillId="0" borderId="5" xfId="1192" applyNumberFormat="1" applyBorder="1" applyAlignment="1">
      <alignment horizontal="right"/>
    </xf>
    <xf numFmtId="168" fontId="21" fillId="0" borderId="4" xfId="4495" applyNumberFormat="1" applyFont="1" applyBorder="1" applyAlignment="1">
      <alignment horizontal="right"/>
    </xf>
    <xf numFmtId="165" fontId="21" fillId="43" borderId="3" xfId="4495" applyNumberFormat="1" applyFont="1" applyFill="1" applyBorder="1" applyAlignment="1" applyProtection="1">
      <alignment horizontal="center"/>
      <protection locked="0"/>
    </xf>
    <xf numFmtId="165" fontId="21" fillId="43" borderId="4" xfId="4495" applyNumberFormat="1" applyFont="1" applyFill="1" applyBorder="1" applyAlignment="1" applyProtection="1">
      <alignment horizontal="center"/>
      <protection locked="0"/>
    </xf>
    <xf numFmtId="165" fontId="21" fillId="43" borderId="5" xfId="4495" applyNumberFormat="1" applyFont="1" applyFill="1" applyBorder="1" applyAlignment="1" applyProtection="1">
      <alignment horizontal="center"/>
      <protection locked="0"/>
    </xf>
    <xf numFmtId="165" fontId="21" fillId="0" borderId="6" xfId="1192" applyNumberFormat="1" applyBorder="1" applyAlignment="1">
      <alignment horizontal="right"/>
    </xf>
    <xf numFmtId="168" fontId="21" fillId="0" borderId="2" xfId="1192" applyNumberFormat="1" applyBorder="1" applyAlignment="1">
      <alignment horizontal="right"/>
    </xf>
    <xf numFmtId="165" fontId="21" fillId="0" borderId="0" xfId="1192" applyNumberFormat="1" applyAlignment="1">
      <alignment horizontal="right"/>
    </xf>
    <xf numFmtId="0" fontId="21" fillId="0" borderId="50" xfId="4495" applyFont="1" applyBorder="1" applyAlignment="1">
      <alignment horizontal="left" vertical="top" wrapText="1"/>
    </xf>
    <xf numFmtId="0" fontId="21" fillId="0" borderId="51" xfId="4495" applyFont="1" applyBorder="1" applyAlignment="1">
      <alignment horizontal="left" vertical="top" wrapText="1"/>
    </xf>
    <xf numFmtId="0" fontId="21" fillId="0" borderId="52" xfId="4495" applyFont="1" applyBorder="1" applyAlignment="1">
      <alignment horizontal="left" vertical="top" wrapText="1"/>
    </xf>
    <xf numFmtId="0" fontId="28" fillId="0" borderId="0" xfId="4495" applyFont="1"/>
    <xf numFmtId="168" fontId="21" fillId="5" borderId="4" xfId="1192" applyNumberFormat="1" applyFill="1" applyBorder="1" applyAlignment="1" applyProtection="1">
      <alignment horizontal="center"/>
      <protection locked="0"/>
    </xf>
    <xf numFmtId="0" fontId="21" fillId="0" borderId="6" xfId="1192" applyBorder="1" applyAlignment="1">
      <alignment horizontal="left"/>
    </xf>
    <xf numFmtId="2" fontId="21" fillId="0" borderId="0" xfId="1192" applyNumberFormat="1" applyAlignment="1">
      <alignment horizontal="right"/>
    </xf>
    <xf numFmtId="0" fontId="21" fillId="43" borderId="53" xfId="4495" applyFont="1" applyFill="1" applyBorder="1" applyAlignment="1" applyProtection="1">
      <alignment vertical="top" wrapText="1"/>
      <protection locked="0"/>
    </xf>
    <xf numFmtId="0" fontId="21" fillId="43" borderId="0" xfId="4495" applyFont="1" applyFill="1" applyAlignment="1" applyProtection="1">
      <alignment vertical="top" wrapText="1"/>
      <protection locked="0"/>
    </xf>
    <xf numFmtId="0" fontId="21" fillId="43" borderId="54" xfId="4495" applyFont="1" applyFill="1" applyBorder="1" applyAlignment="1" applyProtection="1">
      <alignment vertical="top" wrapText="1"/>
      <protection locked="0"/>
    </xf>
    <xf numFmtId="0" fontId="21" fillId="43" borderId="55" xfId="4495" applyFont="1" applyFill="1" applyBorder="1" applyAlignment="1" applyProtection="1">
      <alignment vertical="top" wrapText="1"/>
      <protection locked="0"/>
    </xf>
    <xf numFmtId="0" fontId="21" fillId="43" borderId="6" xfId="4495" applyFont="1" applyFill="1" applyBorder="1" applyAlignment="1" applyProtection="1">
      <alignment vertical="top" wrapText="1"/>
      <protection locked="0"/>
    </xf>
    <xf numFmtId="0" fontId="21" fillId="43" borderId="56" xfId="4495" applyFont="1" applyFill="1" applyBorder="1" applyAlignment="1" applyProtection="1">
      <alignment vertical="top" wrapText="1"/>
      <protection locked="0"/>
    </xf>
    <xf numFmtId="0" fontId="21" fillId="43" borderId="0" xfId="4495" applyFont="1" applyFill="1" applyAlignment="1" applyProtection="1">
      <alignment horizontal="left" vertical="center" wrapText="1"/>
      <protection locked="0"/>
    </xf>
    <xf numFmtId="0" fontId="21" fillId="43" borderId="54" xfId="4495" applyFont="1" applyFill="1" applyBorder="1" applyAlignment="1" applyProtection="1">
      <alignment horizontal="left" vertical="center" wrapText="1"/>
      <protection locked="0"/>
    </xf>
    <xf numFmtId="0" fontId="21" fillId="43" borderId="6" xfId="4495" applyFont="1" applyFill="1" applyBorder="1" applyAlignment="1" applyProtection="1">
      <alignment horizontal="left" vertical="center" wrapText="1"/>
      <protection locked="0"/>
    </xf>
    <xf numFmtId="0" fontId="21" fillId="43" borderId="56" xfId="4495" applyFont="1" applyFill="1" applyBorder="1" applyAlignment="1" applyProtection="1">
      <alignment horizontal="left" vertical="center" wrapText="1"/>
      <protection locked="0"/>
    </xf>
    <xf numFmtId="0" fontId="133" fillId="0" borderId="0" xfId="4495" applyFont="1" applyAlignment="1">
      <alignment horizontal="left" vertical="top" wrapText="1"/>
    </xf>
    <xf numFmtId="0" fontId="124" fillId="5" borderId="55" xfId="4495" applyFill="1" applyBorder="1" applyAlignment="1" applyProtection="1">
      <alignment horizontal="center"/>
      <protection locked="0"/>
    </xf>
    <xf numFmtId="0" fontId="28" fillId="0" borderId="0" xfId="4495" applyFont="1" applyAlignment="1">
      <alignment horizontal="center"/>
    </xf>
    <xf numFmtId="0" fontId="28" fillId="0" borderId="54" xfId="4495" applyFont="1" applyBorder="1" applyAlignment="1">
      <alignment horizontal="center"/>
    </xf>
    <xf numFmtId="0" fontId="29" fillId="0" borderId="51" xfId="4495" applyFont="1" applyBorder="1" applyAlignment="1">
      <alignment horizontal="left" vertical="top" wrapText="1"/>
    </xf>
    <xf numFmtId="0" fontId="28" fillId="0" borderId="54" xfId="4495" applyFont="1" applyBorder="1" applyAlignment="1">
      <alignment horizontal="center" vertical="top"/>
    </xf>
    <xf numFmtId="0" fontId="124" fillId="5" borderId="62" xfId="4495" applyFill="1" applyBorder="1" applyAlignment="1" applyProtection="1">
      <alignment horizontal="center"/>
      <protection locked="0"/>
    </xf>
    <xf numFmtId="0" fontId="124" fillId="5" borderId="63" xfId="4495" applyFill="1" applyBorder="1" applyAlignment="1" applyProtection="1">
      <alignment horizontal="center"/>
      <protection locked="0"/>
    </xf>
    <xf numFmtId="0" fontId="124" fillId="5" borderId="50" xfId="4495" applyFill="1" applyBorder="1" applyAlignment="1">
      <alignment horizontal="center"/>
    </xf>
    <xf numFmtId="0" fontId="124" fillId="5" borderId="51" xfId="4495" applyFill="1" applyBorder="1" applyAlignment="1">
      <alignment horizontal="center"/>
    </xf>
    <xf numFmtId="0" fontId="57" fillId="0" borderId="51" xfId="4495" applyFont="1" applyBorder="1" applyAlignment="1">
      <alignment horizontal="left" wrapText="1"/>
    </xf>
    <xf numFmtId="0" fontId="57" fillId="0" borderId="0" xfId="4495" applyFont="1" applyAlignment="1">
      <alignment horizontal="left" wrapText="1"/>
    </xf>
    <xf numFmtId="0" fontId="126" fillId="0" borderId="50" xfId="4496" applyFont="1" applyBorder="1" applyAlignment="1">
      <alignment horizontal="left" wrapText="1"/>
    </xf>
    <xf numFmtId="0" fontId="126" fillId="0" borderId="51" xfId="4496" applyFont="1" applyBorder="1" applyAlignment="1">
      <alignment horizontal="left" wrapText="1"/>
    </xf>
    <xf numFmtId="0" fontId="126" fillId="0" borderId="52" xfId="4496" applyFont="1" applyBorder="1" applyAlignment="1">
      <alignment horizontal="left" wrapText="1"/>
    </xf>
    <xf numFmtId="0" fontId="126" fillId="0" borderId="57" xfId="4496" applyFont="1" applyBorder="1" applyAlignment="1">
      <alignment horizontal="left" wrapText="1"/>
    </xf>
    <xf numFmtId="0" fontId="126" fillId="0" borderId="58" xfId="4496" applyFont="1" applyBorder="1" applyAlignment="1">
      <alignment horizontal="left" wrapText="1"/>
    </xf>
    <xf numFmtId="0" fontId="126" fillId="0" borderId="59" xfId="4496" applyFont="1" applyBorder="1" applyAlignment="1">
      <alignment horizontal="left" wrapText="1"/>
    </xf>
    <xf numFmtId="0" fontId="21" fillId="0" borderId="0" xfId="4495" applyFont="1" applyAlignment="1">
      <alignment horizontal="left" vertical="center" wrapText="1" shrinkToFit="1"/>
    </xf>
    <xf numFmtId="0" fontId="21" fillId="5" borderId="6" xfId="4495" applyFont="1" applyFill="1" applyBorder="1" applyAlignment="1" applyProtection="1">
      <alignment horizontal="center" vertical="center" wrapText="1" shrinkToFit="1"/>
      <protection locked="0"/>
    </xf>
    <xf numFmtId="0" fontId="21" fillId="5" borderId="6" xfId="4495" applyFont="1" applyFill="1" applyBorder="1" applyAlignment="1" applyProtection="1">
      <alignment horizontal="left" wrapText="1" shrinkToFit="1"/>
      <protection locked="0"/>
    </xf>
    <xf numFmtId="0" fontId="21" fillId="43" borderId="6" xfId="1192" applyFill="1" applyBorder="1" applyAlignment="1" applyProtection="1">
      <alignment horizontal="left" vertical="top"/>
      <protection locked="0"/>
    </xf>
    <xf numFmtId="0" fontId="160"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29" fillId="0" borderId="0" xfId="4495" applyFont="1" applyAlignment="1">
      <alignment horizontal="center"/>
    </xf>
    <xf numFmtId="0" fontId="21" fillId="0" borderId="0" xfId="4495" applyFont="1" applyAlignment="1">
      <alignment wrapText="1"/>
    </xf>
    <xf numFmtId="0" fontId="21" fillId="0" borderId="0" xfId="4495" applyFont="1" applyAlignment="1">
      <alignment horizontal="left" vertical="top" wrapText="1" shrinkToFit="1"/>
    </xf>
    <xf numFmtId="44" fontId="21" fillId="0" borderId="0" xfId="707" applyFont="1" applyFill="1" applyBorder="1" applyAlignment="1" applyProtection="1">
      <alignment horizontal="left" vertical="top" wrapText="1"/>
    </xf>
    <xf numFmtId="0" fontId="28" fillId="0" borderId="0" xfId="4495" applyFont="1" applyAlignment="1">
      <alignment horizontal="left" vertical="top" wrapText="1"/>
    </xf>
    <xf numFmtId="0" fontId="21" fillId="45" borderId="11" xfId="4495" applyFont="1" applyFill="1" applyBorder="1" applyAlignment="1">
      <alignment horizontal="center"/>
    </xf>
    <xf numFmtId="0" fontId="133" fillId="0" borderId="0" xfId="4495" applyFont="1" applyAlignment="1">
      <alignment horizontal="left" vertical="center" wrapText="1"/>
    </xf>
    <xf numFmtId="0" fontId="28" fillId="0" borderId="11" xfId="4495" applyFont="1" applyBorder="1" applyAlignment="1">
      <alignment horizontal="center"/>
    </xf>
    <xf numFmtId="0" fontId="29" fillId="0" borderId="58" xfId="4495" applyFont="1" applyBorder="1" applyAlignment="1">
      <alignment horizontal="left" vertical="top" wrapText="1"/>
    </xf>
    <xf numFmtId="0" fontId="28" fillId="0" borderId="4" xfId="4495" applyFont="1" applyBorder="1" applyAlignment="1">
      <alignment horizontal="left"/>
    </xf>
    <xf numFmtId="0" fontId="28" fillId="0" borderId="5" xfId="4495" applyFont="1" applyBorder="1" applyAlignment="1">
      <alignment horizontal="left"/>
    </xf>
    <xf numFmtId="1" fontId="28" fillId="0" borderId="4" xfId="4495" applyNumberFormat="1" applyFont="1" applyBorder="1" applyAlignment="1">
      <alignment horizontal="center" wrapText="1"/>
    </xf>
    <xf numFmtId="0" fontId="28" fillId="0" borderId="4" xfId="4495" applyFont="1" applyBorder="1" applyAlignment="1">
      <alignment horizontal="center" wrapText="1"/>
    </xf>
    <xf numFmtId="0" fontId="28" fillId="0" borderId="5" xfId="4495" applyFont="1" applyBorder="1" applyAlignment="1">
      <alignment horizontal="center" wrapText="1"/>
    </xf>
    <xf numFmtId="0" fontId="28" fillId="0" borderId="3" xfId="4495" applyFont="1" applyBorder="1" applyAlignment="1">
      <alignment horizontal="center" wrapText="1"/>
    </xf>
    <xf numFmtId="0" fontId="21" fillId="0" borderId="50" xfId="4496" applyFont="1" applyBorder="1" applyAlignment="1">
      <alignment horizontal="left" wrapText="1"/>
    </xf>
    <xf numFmtId="0" fontId="21" fillId="0" borderId="51" xfId="4496" applyFont="1" applyBorder="1" applyAlignment="1">
      <alignment horizontal="left" wrapText="1"/>
    </xf>
    <xf numFmtId="0" fontId="21" fillId="0" borderId="52" xfId="4496" applyFont="1" applyBorder="1" applyAlignment="1">
      <alignment horizontal="left" wrapText="1"/>
    </xf>
    <xf numFmtId="0" fontId="21" fillId="0" borderId="53" xfId="4496" applyFont="1" applyBorder="1" applyAlignment="1">
      <alignment horizontal="left" wrapText="1"/>
    </xf>
    <xf numFmtId="0" fontId="21" fillId="0" borderId="0" xfId="4496" applyFont="1" applyAlignment="1">
      <alignment horizontal="left" wrapText="1"/>
    </xf>
    <xf numFmtId="0" fontId="21" fillId="0" borderId="54" xfId="4496" applyFont="1" applyBorder="1" applyAlignment="1">
      <alignment horizontal="left" wrapText="1"/>
    </xf>
    <xf numFmtId="0" fontId="21" fillId="0" borderId="57" xfId="4496" applyFont="1" applyBorder="1" applyAlignment="1">
      <alignment horizontal="left" wrapText="1"/>
    </xf>
    <xf numFmtId="0" fontId="21" fillId="0" borderId="58" xfId="4496" applyFont="1" applyBorder="1" applyAlignment="1">
      <alignment horizontal="left" wrapText="1"/>
    </xf>
    <xf numFmtId="0" fontId="21" fillId="0" borderId="59" xfId="4496" applyFont="1" applyBorder="1" applyAlignment="1">
      <alignment horizontal="left" wrapText="1"/>
    </xf>
    <xf numFmtId="1" fontId="21" fillId="0" borderId="4" xfId="4496" applyNumberFormat="1" applyFont="1" applyBorder="1" applyAlignment="1">
      <alignment horizontal="center"/>
    </xf>
    <xf numFmtId="1" fontId="21" fillId="0" borderId="5" xfId="4496" applyNumberFormat="1" applyFont="1" applyBorder="1" applyAlignment="1">
      <alignment horizontal="center"/>
    </xf>
    <xf numFmtId="49" fontId="27" fillId="3" borderId="2" xfId="4495" applyNumberFormat="1" applyFont="1" applyFill="1" applyBorder="1" applyAlignment="1">
      <alignment horizontal="center" vertical="center" wrapText="1"/>
    </xf>
    <xf numFmtId="49" fontId="27" fillId="3" borderId="2" xfId="4495" applyNumberFormat="1" applyFont="1" applyFill="1" applyBorder="1" applyAlignment="1">
      <alignment horizontal="center" vertical="center"/>
    </xf>
    <xf numFmtId="49" fontId="27" fillId="3" borderId="0" xfId="4495" applyNumberFormat="1" applyFont="1" applyFill="1" applyAlignment="1">
      <alignment horizontal="center" vertical="center"/>
    </xf>
    <xf numFmtId="0" fontId="28" fillId="0" borderId="1" xfId="4495" applyFont="1" applyBorder="1" applyAlignment="1">
      <alignment horizontal="center" wrapText="1"/>
    </xf>
    <xf numFmtId="0" fontId="28" fillId="0" borderId="2" xfId="4495" applyFont="1" applyBorder="1" applyAlignment="1">
      <alignment horizontal="center" wrapText="1"/>
    </xf>
    <xf numFmtId="0" fontId="28" fillId="0" borderId="7" xfId="4495" applyFont="1" applyBorder="1" applyAlignment="1">
      <alignment horizontal="center" wrapText="1"/>
    </xf>
    <xf numFmtId="0" fontId="28" fillId="0" borderId="9" xfId="4495" applyFont="1" applyBorder="1" applyAlignment="1">
      <alignment horizontal="center" wrapText="1"/>
    </xf>
    <xf numFmtId="0" fontId="28" fillId="0" borderId="6" xfId="4495" applyFont="1" applyBorder="1" applyAlignment="1">
      <alignment horizontal="center" wrapText="1"/>
    </xf>
    <xf numFmtId="0" fontId="28" fillId="0" borderId="10" xfId="4495" applyFont="1" applyBorder="1" applyAlignment="1">
      <alignment horizontal="center" wrapText="1"/>
    </xf>
    <xf numFmtId="1" fontId="28" fillId="0" borderId="11" xfId="4495" applyNumberFormat="1" applyFont="1" applyBorder="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1" fontId="21" fillId="46" borderId="11" xfId="4495" applyNumberFormat="1" applyFont="1" applyFill="1" applyBorder="1" applyAlignment="1">
      <alignment horizontal="center"/>
    </xf>
    <xf numFmtId="0" fontId="21" fillId="5" borderId="11" xfId="4495" applyFont="1" applyFill="1" applyBorder="1" applyAlignment="1" applyProtection="1">
      <alignment horizontal="center"/>
      <protection locked="0"/>
    </xf>
    <xf numFmtId="0" fontId="28" fillId="0" borderId="3" xfId="4495" applyFont="1" applyBorder="1" applyAlignment="1">
      <alignment horizontal="center"/>
    </xf>
    <xf numFmtId="0" fontId="28" fillId="0" borderId="4" xfId="4495" applyFont="1" applyBorder="1" applyAlignment="1">
      <alignment horizontal="center"/>
    </xf>
    <xf numFmtId="0" fontId="28" fillId="0" borderId="5" xfId="4495" applyFont="1" applyBorder="1" applyAlignment="1">
      <alignment horizontal="center"/>
    </xf>
    <xf numFmtId="164" fontId="68" fillId="0" borderId="1" xfId="4495" applyNumberFormat="1" applyFont="1" applyBorder="1" applyAlignment="1">
      <alignment horizontal="right" vertical="center"/>
    </xf>
    <xf numFmtId="164" fontId="68" fillId="0" borderId="2" xfId="4495" applyNumberFormat="1" applyFont="1" applyBorder="1" applyAlignment="1">
      <alignment horizontal="right" vertical="center"/>
    </xf>
    <xf numFmtId="164" fontId="68" fillId="0" borderId="7" xfId="4495" applyNumberFormat="1" applyFont="1" applyBorder="1" applyAlignment="1">
      <alignment horizontal="right" vertical="center"/>
    </xf>
    <xf numFmtId="164" fontId="68" fillId="0" borderId="9" xfId="4495" applyNumberFormat="1" applyFont="1" applyBorder="1" applyAlignment="1">
      <alignment horizontal="right" vertical="center"/>
    </xf>
    <xf numFmtId="164" fontId="68" fillId="0" borderId="6" xfId="4495" applyNumberFormat="1" applyFont="1" applyBorder="1" applyAlignment="1">
      <alignment horizontal="right" vertical="center"/>
    </xf>
    <xf numFmtId="164" fontId="68" fillId="0" borderId="10" xfId="4495" applyNumberFormat="1" applyFont="1" applyBorder="1" applyAlignment="1">
      <alignment horizontal="right" vertical="center"/>
    </xf>
    <xf numFmtId="180" fontId="68" fillId="0" borderId="1" xfId="4495" applyNumberFormat="1" applyFont="1" applyBorder="1" applyAlignment="1">
      <alignment horizontal="center" vertical="center"/>
    </xf>
    <xf numFmtId="180" fontId="68" fillId="0" borderId="2" xfId="4495" applyNumberFormat="1" applyFont="1" applyBorder="1" applyAlignment="1">
      <alignment horizontal="center" vertical="center"/>
    </xf>
    <xf numFmtId="180" fontId="68" fillId="0" borderId="7" xfId="4495" applyNumberFormat="1" applyFont="1" applyBorder="1" applyAlignment="1">
      <alignment horizontal="center" vertical="center"/>
    </xf>
    <xf numFmtId="180" fontId="68" fillId="0" borderId="9" xfId="4495" applyNumberFormat="1" applyFont="1" applyBorder="1" applyAlignment="1">
      <alignment horizontal="center" vertical="center"/>
    </xf>
    <xf numFmtId="180" fontId="68" fillId="0" borderId="6" xfId="4495" applyNumberFormat="1" applyFont="1" applyBorder="1" applyAlignment="1">
      <alignment horizontal="center" vertical="center"/>
    </xf>
    <xf numFmtId="180" fontId="68" fillId="0" borderId="10" xfId="4495" applyNumberFormat="1" applyFont="1" applyBorder="1" applyAlignment="1">
      <alignment horizontal="center" vertical="center"/>
    </xf>
    <xf numFmtId="0" fontId="124" fillId="0" borderId="53" xfId="4495" applyBorder="1" applyAlignment="1">
      <alignment horizontal="center"/>
    </xf>
    <xf numFmtId="0" fontId="124" fillId="0" borderId="0" xfId="4495" applyAlignment="1">
      <alignment horizontal="center"/>
    </xf>
    <xf numFmtId="0" fontId="29" fillId="5" borderId="0" xfId="4495" applyFont="1" applyFill="1" applyAlignment="1">
      <alignment horizontal="left" vertical="top"/>
    </xf>
    <xf numFmtId="0" fontId="124" fillId="5" borderId="53" xfId="4495" applyFill="1" applyBorder="1" applyAlignment="1">
      <alignment horizontal="center"/>
    </xf>
    <xf numFmtId="0" fontId="124" fillId="5" borderId="0" xfId="4495" applyFill="1" applyAlignment="1">
      <alignment horizontal="center"/>
    </xf>
    <xf numFmtId="0" fontId="124" fillId="5" borderId="55" xfId="4495" applyFill="1" applyBorder="1" applyAlignment="1">
      <alignment horizontal="center"/>
    </xf>
    <xf numFmtId="0" fontId="124" fillId="5" borderId="6" xfId="4495" applyFill="1" applyBorder="1" applyAlignment="1">
      <alignment horizontal="center"/>
    </xf>
    <xf numFmtId="0" fontId="29" fillId="5" borderId="0" xfId="4495" applyFont="1" applyFill="1" applyAlignment="1">
      <alignment horizontal="left" vertical="top" wrapText="1"/>
    </xf>
    <xf numFmtId="0" fontId="29" fillId="5" borderId="58" xfId="4495" applyFont="1" applyFill="1" applyBorder="1" applyAlignment="1">
      <alignment horizontal="left" vertical="top" wrapText="1"/>
    </xf>
    <xf numFmtId="0" fontId="28" fillId="0" borderId="51" xfId="4495" applyFont="1" applyBorder="1" applyAlignment="1">
      <alignment horizontal="center" vertical="top"/>
    </xf>
    <xf numFmtId="0" fontId="28" fillId="0" borderId="52" xfId="4495" applyFont="1" applyBorder="1" applyAlignment="1">
      <alignment horizontal="center" vertical="top"/>
    </xf>
    <xf numFmtId="168" fontId="21" fillId="43" borderId="6" xfId="543" applyNumberFormat="1" applyFill="1" applyBorder="1" applyAlignment="1" applyProtection="1">
      <alignment horizontal="center"/>
      <protection locked="0"/>
    </xf>
    <xf numFmtId="0" fontId="21" fillId="0" borderId="6" xfId="1192" applyBorder="1" applyAlignment="1">
      <alignment horizontal="right"/>
    </xf>
    <xf numFmtId="10" fontId="29" fillId="0" borderId="2" xfId="4495" applyNumberFormat="1" applyFont="1" applyBorder="1" applyAlignment="1">
      <alignment horizontal="center"/>
    </xf>
    <xf numFmtId="4" fontId="29" fillId="0" borderId="0" xfId="4495" applyNumberFormat="1" applyFont="1" applyAlignment="1">
      <alignment horizontal="center"/>
    </xf>
    <xf numFmtId="9" fontId="29" fillId="5" borderId="6" xfId="4495" applyNumberFormat="1" applyFont="1" applyFill="1" applyBorder="1" applyAlignment="1">
      <alignment horizontal="left"/>
    </xf>
    <xf numFmtId="0" fontId="37" fillId="42" borderId="2" xfId="4495" applyFont="1" applyFill="1" applyBorder="1" applyAlignment="1">
      <alignment horizontal="center"/>
    </xf>
    <xf numFmtId="0" fontId="37" fillId="42" borderId="6" xfId="4495" applyFont="1" applyFill="1" applyBorder="1" applyAlignment="1">
      <alignment horizontal="center"/>
    </xf>
    <xf numFmtId="168" fontId="21" fillId="0" borderId="4" xfId="4496" applyNumberFormat="1" applyFont="1" applyBorder="1" applyAlignment="1">
      <alignment horizontal="center"/>
    </xf>
    <xf numFmtId="9" fontId="21" fillId="0" borderId="4" xfId="4496" applyNumberFormat="1" applyFont="1" applyBorder="1" applyAlignment="1">
      <alignment horizontal="center"/>
    </xf>
    <xf numFmtId="168" fontId="21" fillId="0" borderId="6" xfId="1192" applyNumberFormat="1" applyBorder="1" applyAlignment="1">
      <alignment horizontal="right"/>
    </xf>
    <xf numFmtId="168" fontId="21" fillId="43" borderId="6" xfId="1192" applyNumberFormat="1" applyFill="1" applyBorder="1" applyAlignment="1" applyProtection="1">
      <alignment horizontal="right"/>
      <protection locked="0"/>
    </xf>
    <xf numFmtId="0" fontId="29" fillId="5" borderId="58" xfId="4495" applyFont="1" applyFill="1" applyBorder="1" applyAlignment="1">
      <alignment horizontal="left"/>
    </xf>
    <xf numFmtId="0" fontId="57" fillId="0" borderId="51" xfId="4495" applyFont="1" applyBorder="1" applyAlignment="1">
      <alignment horizontal="left" vertical="top" wrapText="1"/>
    </xf>
    <xf numFmtId="0" fontId="57" fillId="0" borderId="0" xfId="4495" applyFont="1" applyAlignment="1">
      <alignment horizontal="left" vertical="top" wrapText="1"/>
    </xf>
    <xf numFmtId="9" fontId="29" fillId="5" borderId="58" xfId="4495" applyNumberFormat="1" applyFont="1" applyFill="1" applyBorder="1" applyAlignment="1">
      <alignment horizontal="left"/>
    </xf>
    <xf numFmtId="0" fontId="29" fillId="5" borderId="6" xfId="4495" applyFont="1" applyFill="1" applyBorder="1" applyAlignment="1">
      <alignment horizontal="left"/>
    </xf>
    <xf numFmtId="4" fontId="29" fillId="0" borderId="3" xfId="4495" applyNumberFormat="1" applyFont="1" applyBorder="1" applyAlignment="1">
      <alignment horizontal="center"/>
    </xf>
    <xf numFmtId="4" fontId="29" fillId="0" borderId="4" xfId="4495" applyNumberFormat="1" applyFont="1" applyBorder="1" applyAlignment="1">
      <alignment horizontal="center"/>
    </xf>
    <xf numFmtId="4" fontId="29" fillId="0" borderId="5" xfId="4495" applyNumberFormat="1" applyFont="1" applyBorder="1" applyAlignment="1">
      <alignment horizontal="center"/>
    </xf>
    <xf numFmtId="165" fontId="126" fillId="0" borderId="3" xfId="4496" applyNumberFormat="1" applyFont="1" applyBorder="1" applyAlignment="1">
      <alignment horizontal="center" vertical="top" wrapText="1"/>
    </xf>
    <xf numFmtId="165" fontId="126" fillId="0" borderId="5" xfId="4496" applyNumberFormat="1" applyFont="1" applyBorder="1" applyAlignment="1">
      <alignment horizontal="center" vertical="top" wrapText="1"/>
    </xf>
    <xf numFmtId="3" fontId="21" fillId="43" borderId="6" xfId="1192" applyNumberFormat="1" applyFill="1" applyBorder="1" applyAlignment="1" applyProtection="1">
      <alignment horizontal="right"/>
      <protection locked="0"/>
    </xf>
    <xf numFmtId="0" fontId="145" fillId="0" borderId="0" xfId="1192" applyFont="1" applyAlignment="1">
      <alignment horizontal="center"/>
    </xf>
    <xf numFmtId="4" fontId="29" fillId="0" borderId="6" xfId="4495" applyNumberFormat="1" applyFont="1" applyBorder="1" applyAlignment="1">
      <alignment horizontal="center"/>
    </xf>
    <xf numFmtId="0" fontId="28" fillId="0" borderId="0" xfId="4495" applyFont="1" applyAlignment="1">
      <alignment horizontal="left" wrapText="1"/>
    </xf>
    <xf numFmtId="164" fontId="21" fillId="0" borderId="50" xfId="4495" applyNumberFormat="1" applyFont="1" applyBorder="1" applyAlignment="1">
      <alignment horizontal="left" vertical="top" wrapText="1"/>
    </xf>
    <xf numFmtId="164" fontId="21" fillId="0" borderId="51" xfId="4495" applyNumberFormat="1" applyFont="1" applyBorder="1" applyAlignment="1">
      <alignment horizontal="left" vertical="top" wrapText="1"/>
    </xf>
    <xf numFmtId="164" fontId="21" fillId="0" borderId="52" xfId="4495" applyNumberFormat="1" applyFont="1" applyBorder="1" applyAlignment="1">
      <alignment horizontal="left" vertical="top" wrapText="1"/>
    </xf>
    <xf numFmtId="164" fontId="21" fillId="0" borderId="53" xfId="4495" applyNumberFormat="1" applyFont="1" applyBorder="1" applyAlignment="1">
      <alignment horizontal="left" vertical="top" wrapText="1"/>
    </xf>
    <xf numFmtId="164" fontId="21" fillId="0" borderId="0" xfId="4495" applyNumberFormat="1" applyFont="1" applyAlignment="1">
      <alignment horizontal="left" vertical="top" wrapText="1"/>
    </xf>
    <xf numFmtId="164" fontId="21" fillId="0" borderId="54" xfId="4495" applyNumberFormat="1" applyFont="1" applyBorder="1" applyAlignment="1">
      <alignment horizontal="left" vertical="top" wrapText="1"/>
    </xf>
    <xf numFmtId="164" fontId="21" fillId="0" borderId="57" xfId="4495" applyNumberFormat="1" applyFont="1" applyBorder="1" applyAlignment="1">
      <alignment horizontal="left" vertical="top" wrapText="1"/>
    </xf>
    <xf numFmtId="164" fontId="21" fillId="0" borderId="58" xfId="4495" applyNumberFormat="1" applyFont="1" applyBorder="1" applyAlignment="1">
      <alignment horizontal="left" vertical="top" wrapText="1"/>
    </xf>
    <xf numFmtId="164" fontId="21" fillId="0" borderId="59" xfId="4495" applyNumberFormat="1" applyFont="1" applyBorder="1" applyAlignment="1">
      <alignment horizontal="left" vertical="top" wrapText="1"/>
    </xf>
    <xf numFmtId="168" fontId="21" fillId="0" borderId="4" xfId="1192" applyNumberFormat="1" applyBorder="1" applyAlignment="1">
      <alignment horizontal="right"/>
    </xf>
    <xf numFmtId="0" fontId="122" fillId="0" borderId="4" xfId="1192" applyFont="1" applyBorder="1" applyAlignment="1">
      <alignment horizontal="left"/>
    </xf>
    <xf numFmtId="0" fontId="124" fillId="5" borderId="62" xfId="4495" applyFill="1" applyBorder="1" applyAlignment="1">
      <alignment horizontal="center"/>
    </xf>
    <xf numFmtId="0" fontId="124" fillId="5" borderId="63" xfId="4495" applyFill="1" applyBorder="1" applyAlignment="1">
      <alignment horizontal="center"/>
    </xf>
    <xf numFmtId="0" fontId="102" fillId="0" borderId="3" xfId="4496" applyFont="1" applyBorder="1"/>
    <xf numFmtId="0" fontId="102" fillId="0" borderId="81" xfId="4496" applyFont="1" applyBorder="1"/>
    <xf numFmtId="0" fontId="102" fillId="0" borderId="94" xfId="4496" applyFont="1" applyBorder="1"/>
    <xf numFmtId="0" fontId="102" fillId="0" borderId="85" xfId="4496" applyFont="1" applyBorder="1"/>
    <xf numFmtId="49" fontId="102" fillId="45" borderId="15" xfId="4496" applyNumberFormat="1" applyFont="1" applyFill="1" applyBorder="1" applyAlignment="1">
      <alignment horizontal="center" vertical="center" wrapText="1"/>
    </xf>
    <xf numFmtId="49" fontId="102" fillId="45" borderId="13" xfId="4496" applyNumberFormat="1" applyFont="1" applyFill="1" applyBorder="1" applyAlignment="1">
      <alignment horizontal="center" vertical="center" wrapText="1"/>
    </xf>
    <xf numFmtId="0" fontId="102" fillId="0" borderId="93" xfId="4496" applyFont="1" applyBorder="1" applyAlignment="1">
      <alignment horizontal="right"/>
    </xf>
    <xf numFmtId="0" fontId="102" fillId="0" borderId="74" xfId="4496" applyFont="1" applyBorder="1" applyAlignment="1">
      <alignment horizontal="right"/>
    </xf>
    <xf numFmtId="0" fontId="102" fillId="0" borderId="75" xfId="4496" applyFont="1" applyBorder="1"/>
    <xf numFmtId="0" fontId="102" fillId="0" borderId="91" xfId="4496" applyFont="1" applyBorder="1"/>
    <xf numFmtId="0" fontId="102" fillId="0" borderId="90" xfId="4496" applyFont="1" applyBorder="1" applyAlignment="1">
      <alignment horizontal="right"/>
    </xf>
    <xf numFmtId="0" fontId="102" fillId="0" borderId="5" xfId="4496" applyFont="1" applyBorder="1" applyAlignment="1">
      <alignment horizontal="right"/>
    </xf>
    <xf numFmtId="0" fontId="102" fillId="0" borderId="69" xfId="4496" applyFont="1" applyBorder="1" applyAlignment="1">
      <alignment horizontal="right"/>
    </xf>
    <xf numFmtId="0" fontId="102" fillId="0" borderId="70" xfId="4496" applyFont="1" applyBorder="1" applyAlignment="1">
      <alignment horizontal="right"/>
    </xf>
    <xf numFmtId="168" fontId="102" fillId="0" borderId="11" xfId="4499" applyNumberFormat="1" applyFont="1" applyFill="1" applyBorder="1" applyAlignment="1" applyProtection="1">
      <alignment horizontal="left" vertical="center" indent="1"/>
    </xf>
    <xf numFmtId="0" fontId="140" fillId="0" borderId="68" xfId="4496" applyFont="1" applyBorder="1" applyAlignment="1">
      <alignment horizontal="left" indent="1"/>
    </xf>
    <xf numFmtId="168" fontId="102" fillId="0" borderId="70" xfId="4499" applyNumberFormat="1" applyFont="1" applyFill="1" applyBorder="1" applyAlignment="1" applyProtection="1">
      <alignment horizontal="left" vertical="center" indent="1"/>
    </xf>
    <xf numFmtId="49" fontId="139" fillId="3" borderId="0" xfId="1192" applyNumberFormat="1" applyFont="1" applyFill="1" applyAlignment="1">
      <alignment horizontal="center" vertical="center"/>
    </xf>
    <xf numFmtId="0" fontId="102" fillId="0" borderId="11" xfId="4496" applyFont="1" applyBorder="1" applyAlignment="1">
      <alignment horizontal="left" indent="1"/>
    </xf>
    <xf numFmtId="0" fontId="102" fillId="0" borderId="11" xfId="4496" applyFont="1" applyBorder="1" applyAlignment="1">
      <alignment horizontal="left" indent="2"/>
    </xf>
    <xf numFmtId="0" fontId="140" fillId="45" borderId="3" xfId="4496" applyFont="1" applyFill="1" applyBorder="1" applyAlignment="1">
      <alignment horizontal="center" vertical="center"/>
    </xf>
    <xf numFmtId="0" fontId="140" fillId="45" borderId="4" xfId="4496" applyFont="1" applyFill="1" applyBorder="1" applyAlignment="1">
      <alignment horizontal="center" vertical="center"/>
    </xf>
    <xf numFmtId="0" fontId="140" fillId="45" borderId="5" xfId="4496" applyFont="1" applyFill="1" applyBorder="1" applyAlignment="1">
      <alignment horizontal="center" vertical="center"/>
    </xf>
    <xf numFmtId="9" fontId="140" fillId="45" borderId="3" xfId="4499" applyFont="1" applyFill="1" applyBorder="1" applyAlignment="1" applyProtection="1">
      <alignment horizontal="center" vertical="center"/>
    </xf>
    <xf numFmtId="9" fontId="140" fillId="45" borderId="4" xfId="4499" applyFont="1" applyFill="1" applyBorder="1" applyAlignment="1" applyProtection="1">
      <alignment horizontal="center" vertical="center"/>
    </xf>
    <xf numFmtId="9" fontId="140" fillId="45" borderId="5" xfId="4499" applyFont="1" applyFill="1" applyBorder="1" applyAlignment="1" applyProtection="1">
      <alignment horizontal="center" vertical="center"/>
    </xf>
    <xf numFmtId="168" fontId="102" fillId="0" borderId="13" xfId="4499" applyNumberFormat="1" applyFont="1" applyFill="1" applyBorder="1" applyAlignment="1" applyProtection="1">
      <alignment horizontal="left" vertical="center" indent="1"/>
    </xf>
    <xf numFmtId="0" fontId="102" fillId="0" borderId="3" xfId="4496" applyFont="1" applyBorder="1" applyAlignment="1">
      <alignment horizontal="left" indent="1"/>
    </xf>
    <xf numFmtId="0" fontId="102" fillId="0" borderId="4" xfId="4496" applyFont="1" applyBorder="1" applyAlignment="1">
      <alignment horizontal="left" indent="1"/>
    </xf>
    <xf numFmtId="0" fontId="102" fillId="0" borderId="5" xfId="4496" applyFont="1" applyBorder="1" applyAlignment="1">
      <alignment horizontal="left" indent="1"/>
    </xf>
    <xf numFmtId="0" fontId="102" fillId="0" borderId="3" xfId="4496" applyFont="1" applyBorder="1" applyAlignment="1">
      <alignment horizontal="left" indent="2"/>
    </xf>
    <xf numFmtId="0" fontId="102" fillId="0" borderId="4" xfId="4496" applyFont="1" applyBorder="1" applyAlignment="1">
      <alignment horizontal="left" indent="2"/>
    </xf>
    <xf numFmtId="0" fontId="102" fillId="0" borderId="5" xfId="4496" applyFont="1" applyBorder="1" applyAlignment="1">
      <alignment horizontal="left" indent="2"/>
    </xf>
    <xf numFmtId="0" fontId="102" fillId="0" borderId="0" xfId="4496" applyFont="1" applyAlignment="1">
      <alignment wrapText="1"/>
    </xf>
    <xf numFmtId="0" fontId="140" fillId="0" borderId="75" xfId="4496" applyFont="1" applyBorder="1" applyAlignment="1">
      <alignment horizontal="center" vertical="top" wrapText="1"/>
    </xf>
    <xf numFmtId="0" fontId="140" fillId="0" borderId="74" xfId="4496" applyFont="1" applyBorder="1" applyAlignment="1">
      <alignment horizontal="center" vertical="top" wrapText="1"/>
    </xf>
    <xf numFmtId="0" fontId="102" fillId="0" borderId="0" xfId="4496" applyFont="1" applyAlignment="1">
      <alignment horizontal="left" wrapText="1"/>
    </xf>
    <xf numFmtId="0" fontId="102" fillId="0" borderId="0" xfId="4496" applyFont="1" applyAlignment="1">
      <alignment horizontal="center" vertical="center" wrapText="1"/>
    </xf>
    <xf numFmtId="0" fontId="102" fillId="43" borderId="0" xfId="4496" applyFont="1" applyFill="1" applyAlignment="1" applyProtection="1">
      <alignment horizontal="left" vertical="top" wrapText="1"/>
      <protection locked="0"/>
    </xf>
    <xf numFmtId="0" fontId="102" fillId="43" borderId="6" xfId="4496" applyFont="1" applyFill="1" applyBorder="1" applyAlignment="1" applyProtection="1">
      <alignment horizontal="left" vertical="top" wrapText="1"/>
      <protection locked="0"/>
    </xf>
    <xf numFmtId="0" fontId="102" fillId="0" borderId="0" xfId="4496" applyFont="1" applyAlignment="1">
      <alignment horizontal="left" wrapText="1" indent="1"/>
    </xf>
    <xf numFmtId="0" fontId="26" fillId="0" borderId="6" xfId="271" applyFont="1" applyBorder="1" applyAlignment="1">
      <alignment horizontal="center"/>
    </xf>
    <xf numFmtId="0" fontId="26" fillId="0" borderId="0" xfId="0" applyFont="1" applyAlignment="1" applyProtection="1">
      <alignment wrapText="1"/>
      <protection locked="0"/>
    </xf>
    <xf numFmtId="3" fontId="21" fillId="0" borderId="0" xfId="0" applyNumberFormat="1" applyFont="1" applyAlignment="1">
      <alignment horizontal="left" vertical="top" wrapText="1"/>
    </xf>
    <xf numFmtId="3" fontId="30" fillId="0" borderId="0" xfId="0" applyNumberFormat="1" applyFont="1" applyAlignment="1">
      <alignment horizontal="left" vertical="top" wrapText="1"/>
    </xf>
    <xf numFmtId="0" fontId="21"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5">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4">
  <autoFilter ref="BD2:BF110" xr:uid="{20D12FE9-D671-46AE-8E74-697FC9E00D36}"/>
  <tableColumns count="3">
    <tableColumn id="1" xr3:uid="{6D57456F-8765-4265-AAB0-1C6229D75231}" name="Key"/>
    <tableColumn id="2" xr3:uid="{364B4D43-EEAF-424D-B3F3-B1165A9E3181}" name="Value" dataDxfId="123"/>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2" dataDxfId="121" headerRowCellStyle="Normal 16 3" dataCellStyle="Normal 16 3">
  <autoFilter ref="BM8:BM13" xr:uid="{EC5E3245-E94C-4732-9264-A1FF7840F5A2}"/>
  <tableColumns count="1">
    <tableColumn id="1" xr3:uid="{FC9561DE-AB40-4108-8A40-2198A441853F}" name="Construction Type" dataDxfId="12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9" dataDxfId="118"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7" dataCellStyle="Normal 15">
      <calculatedColumnFormula>IFERROR(MIN(4,MATCH(Application!B726,UnitSizes,0)-1),"")</calculatedColumnFormula>
    </tableColumn>
    <tableColumn id="3" xr3:uid="{3C170205-C158-4CBB-8CF5-9AF725351349}" name="Quantity" dataDxfId="116" dataCellStyle="Normal 15">
      <calculatedColumnFormula>Application!G726</calculatedColumnFormula>
    </tableColumn>
    <tableColumn id="6" xr3:uid="{7C05B4DE-3AC1-47F3-9C25-D16553367CFA}" name="iAMI" dataDxfId="115" dataCellStyle="Percent">
      <calculatedColumnFormula>Application!AC726</calculatedColumnFormula>
    </tableColumn>
    <tableColumn id="7" xr3:uid="{2B6706B4-1A54-4104-A649-2FE0A4FF8E92}" name="AMI" dataDxfId="114" dataCellStyle="Percent">
      <calculatedColumnFormula>IF(Cdlac[[#This Row],[Quantity]]&gt;0,IF(Cdlac[[#This Row],[Federal]],30%,IF(AND(OR(NOT($G$38),$G$38=""),$G$43),40%,Cdlac[[#This Row],[iAMI]])),"")</calculatedColumnFormula>
    </tableColumn>
    <tableColumn id="8" xr3:uid="{A8EB42BE-4789-45EE-A11C-67C20CB0D91B}" name="Restricted Rent" dataDxfId="113" dataCellStyle="Normal 15">
      <calculatedColumnFormula array="1">IF(Cdlac[[#This Row],[Quantity]]&gt;0,INDEX(TcacRents,$P$18,Cdlac[[#This Row],[Bedrooms]]+1)*Cdlac[[#This Row],[AMI]],"")</calculatedColumnFormula>
    </tableColumn>
    <tableColumn id="1" xr3:uid="{DB79DEA5-8C58-4800-B67F-14CBEB0E0B62}" name="Preservation Rent" dataDxfId="112" dataCellStyle="Normal 15"/>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9" dataCellStyle="Normal 15">
      <calculatedColumnFormula>IF(Cdlac[[#This Row],[Quantity]]&gt;0,AND(Application!AK726&lt;&gt;"N/A",Application!AK726&lt;&gt;"")*Cdlac[[#This Row],[Quantity]],"")</calculatedColumnFormula>
    </tableColumn>
    <tableColumn id="4" xr3:uid="{5D52F6BE-992B-4621-8785-ED1E8B62A78F}" name="Federal" dataDxfId="108"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zoomScale="90" zoomScaleNormal="9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391" t="s">
        <v>549</v>
      </c>
      <c r="B1" s="1391"/>
      <c r="C1" s="1391"/>
      <c r="D1" s="1391"/>
      <c r="E1" s="1391"/>
      <c r="F1" s="1391"/>
      <c r="G1" s="1391"/>
      <c r="H1" s="1391"/>
      <c r="I1" s="1391"/>
      <c r="J1" s="1391"/>
      <c r="K1" s="1391"/>
      <c r="L1" s="1391"/>
      <c r="M1" s="1391"/>
      <c r="N1" s="1391"/>
      <c r="O1" s="1391"/>
      <c r="P1" s="1391"/>
      <c r="Q1" s="1391"/>
      <c r="R1" s="1391"/>
      <c r="S1" s="1391"/>
      <c r="T1" s="1391"/>
      <c r="U1" s="1391"/>
      <c r="V1" s="1391"/>
      <c r="W1" s="1391"/>
      <c r="X1" s="1391"/>
      <c r="Y1" s="1391"/>
      <c r="Z1" s="1391"/>
      <c r="AA1" s="1391"/>
      <c r="AB1" s="1391"/>
      <c r="AC1" s="1391"/>
      <c r="AD1" s="1391"/>
      <c r="AE1" s="1391"/>
      <c r="AF1" s="1391"/>
      <c r="AG1" s="1391"/>
      <c r="AH1" s="1391"/>
      <c r="AI1" s="1391"/>
      <c r="AJ1" s="1391"/>
      <c r="AK1" s="1391"/>
      <c r="AL1" s="1391"/>
    </row>
    <row r="2" spans="1:38" ht="13.5" thickBot="1">
      <c r="A2" s="1804"/>
      <c r="B2" s="1804"/>
      <c r="C2" s="1804"/>
      <c r="D2" s="1804"/>
      <c r="E2" s="1804"/>
      <c r="F2" s="1804"/>
      <c r="G2" s="1804"/>
      <c r="H2" s="1804"/>
      <c r="I2" s="1804"/>
      <c r="J2" s="1804"/>
      <c r="K2" s="1804"/>
      <c r="L2" s="1804"/>
      <c r="M2" s="1804"/>
      <c r="N2" s="1804"/>
      <c r="O2" s="1804"/>
      <c r="P2" s="1804"/>
      <c r="Q2" s="1804"/>
      <c r="R2" s="1804"/>
      <c r="S2" s="1804"/>
      <c r="T2" s="1804"/>
      <c r="U2" s="1804"/>
      <c r="V2" s="1804"/>
      <c r="W2" s="1804"/>
      <c r="X2" s="1804"/>
      <c r="Y2" s="1804"/>
      <c r="Z2" s="1804"/>
      <c r="AA2" s="1804"/>
      <c r="AB2" s="1804"/>
      <c r="AC2" s="1804"/>
      <c r="AD2" s="1804"/>
      <c r="AE2" s="1804"/>
      <c r="AF2" s="1804"/>
      <c r="AG2" s="1804"/>
      <c r="AH2" s="1804"/>
      <c r="AI2" s="1804"/>
      <c r="AJ2" s="1804"/>
      <c r="AK2" s="1804"/>
      <c r="AL2" s="1804"/>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22" t="s">
        <v>1992</v>
      </c>
      <c r="E7" s="1422"/>
      <c r="F7" s="1422"/>
      <c r="G7" s="1422"/>
      <c r="H7" s="1422"/>
      <c r="I7" s="1422"/>
      <c r="J7" s="1422"/>
      <c r="K7" s="1422"/>
      <c r="L7" s="1422"/>
      <c r="M7" s="1422"/>
      <c r="N7" s="1422"/>
      <c r="O7" s="1422"/>
      <c r="P7" s="1422"/>
      <c r="Q7" s="1422"/>
      <c r="R7" s="1422"/>
      <c r="S7" s="1422"/>
      <c r="T7" s="1422"/>
      <c r="U7" s="1422"/>
      <c r="V7" s="1422"/>
      <c r="W7" s="1422"/>
      <c r="X7" s="1422"/>
      <c r="Y7" s="1422"/>
      <c r="Z7" s="1422"/>
      <c r="AA7" s="1422"/>
      <c r="AB7" s="1422"/>
      <c r="AC7" s="1422"/>
      <c r="AD7" s="1422"/>
      <c r="AE7" s="1422"/>
      <c r="AF7" s="1422"/>
      <c r="AG7" s="1422"/>
      <c r="AH7" s="1422"/>
      <c r="AI7" s="1422"/>
      <c r="AJ7" s="1422"/>
      <c r="AK7" s="1422"/>
      <c r="AL7" s="455"/>
    </row>
    <row r="8" spans="1:38">
      <c r="A8" s="204"/>
      <c r="B8" s="204"/>
      <c r="C8" s="205"/>
      <c r="D8" s="1422"/>
      <c r="E8" s="1422"/>
      <c r="F8" s="1422"/>
      <c r="G8" s="1422"/>
      <c r="H8" s="1422"/>
      <c r="I8" s="1422"/>
      <c r="J8" s="1422"/>
      <c r="K8" s="1422"/>
      <c r="L8" s="1422"/>
      <c r="M8" s="1422"/>
      <c r="N8" s="1422"/>
      <c r="O8" s="1422"/>
      <c r="P8" s="1422"/>
      <c r="Q8" s="1422"/>
      <c r="R8" s="1422"/>
      <c r="S8" s="1422"/>
      <c r="T8" s="1422"/>
      <c r="U8" s="1422"/>
      <c r="V8" s="1422"/>
      <c r="W8" s="1422"/>
      <c r="X8" s="1422"/>
      <c r="Y8" s="1422"/>
      <c r="Z8" s="1422"/>
      <c r="AA8" s="1422"/>
      <c r="AB8" s="1422"/>
      <c r="AC8" s="1422"/>
      <c r="AD8" s="1422"/>
      <c r="AE8" s="1422"/>
      <c r="AF8" s="1422"/>
      <c r="AG8" s="1422"/>
      <c r="AH8" s="1422"/>
      <c r="AI8" s="1422"/>
      <c r="AJ8" s="1422"/>
      <c r="AK8" s="1422"/>
      <c r="AL8" s="455"/>
    </row>
    <row r="9" spans="1:38">
      <c r="A9" s="204"/>
      <c r="B9" s="204"/>
      <c r="C9" s="205"/>
      <c r="D9" s="1422"/>
      <c r="E9" s="1422"/>
      <c r="F9" s="1422"/>
      <c r="G9" s="1422"/>
      <c r="H9" s="1422"/>
      <c r="I9" s="1422"/>
      <c r="J9" s="1422"/>
      <c r="K9" s="1422"/>
      <c r="L9" s="1422"/>
      <c r="M9" s="1422"/>
      <c r="N9" s="1422"/>
      <c r="O9" s="1422"/>
      <c r="P9" s="1422"/>
      <c r="Q9" s="1422"/>
      <c r="R9" s="1422"/>
      <c r="S9" s="1422"/>
      <c r="T9" s="1422"/>
      <c r="U9" s="1422"/>
      <c r="V9" s="1422"/>
      <c r="W9" s="1422"/>
      <c r="X9" s="1422"/>
      <c r="Y9" s="1422"/>
      <c r="Z9" s="1422"/>
      <c r="AA9" s="1422"/>
      <c r="AB9" s="1422"/>
      <c r="AC9" s="1422"/>
      <c r="AD9" s="1422"/>
      <c r="AE9" s="1422"/>
      <c r="AF9" s="1422"/>
      <c r="AG9" s="1422"/>
      <c r="AH9" s="1422"/>
      <c r="AI9" s="1422"/>
      <c r="AJ9" s="1422"/>
      <c r="AK9" s="142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422" t="s">
        <v>1993</v>
      </c>
      <c r="E11" s="1422"/>
      <c r="F11" s="1422"/>
      <c r="G11" s="1422"/>
      <c r="H11" s="1422"/>
      <c r="I11" s="1422"/>
      <c r="J11" s="1422"/>
      <c r="K11" s="1422"/>
      <c r="L11" s="1422"/>
      <c r="M11" s="1422"/>
      <c r="N11" s="1422"/>
      <c r="O11" s="1422"/>
      <c r="P11" s="1422"/>
      <c r="Q11" s="1422"/>
      <c r="R11" s="1422"/>
      <c r="S11" s="1422"/>
      <c r="T11" s="1422"/>
      <c r="U11" s="1422"/>
      <c r="V11" s="1422"/>
      <c r="W11" s="1422"/>
      <c r="X11" s="1422"/>
      <c r="Y11" s="1422"/>
      <c r="Z11" s="1422"/>
      <c r="AA11" s="1422"/>
      <c r="AB11" s="1422"/>
      <c r="AC11" s="1422"/>
      <c r="AD11" s="1422"/>
      <c r="AE11" s="1422"/>
      <c r="AF11" s="1422"/>
      <c r="AG11" s="1422"/>
      <c r="AH11" s="1422"/>
      <c r="AI11" s="1422"/>
      <c r="AJ11" s="1422"/>
      <c r="AK11" s="1422"/>
      <c r="AL11" s="455"/>
    </row>
    <row r="12" spans="1:38">
      <c r="A12" s="204"/>
      <c r="B12" s="204"/>
      <c r="C12" s="205"/>
      <c r="D12" s="1422"/>
      <c r="E12" s="1422"/>
      <c r="F12" s="1422"/>
      <c r="G12" s="1422"/>
      <c r="H12" s="1422"/>
      <c r="I12" s="1422"/>
      <c r="J12" s="1422"/>
      <c r="K12" s="1422"/>
      <c r="L12" s="1422"/>
      <c r="M12" s="1422"/>
      <c r="N12" s="1422"/>
      <c r="O12" s="1422"/>
      <c r="P12" s="1422"/>
      <c r="Q12" s="1422"/>
      <c r="R12" s="1422"/>
      <c r="S12" s="1422"/>
      <c r="T12" s="1422"/>
      <c r="U12" s="1422"/>
      <c r="V12" s="1422"/>
      <c r="W12" s="1422"/>
      <c r="X12" s="1422"/>
      <c r="Y12" s="1422"/>
      <c r="Z12" s="1422"/>
      <c r="AA12" s="1422"/>
      <c r="AB12" s="1422"/>
      <c r="AC12" s="1422"/>
      <c r="AD12" s="1422"/>
      <c r="AE12" s="1422"/>
      <c r="AF12" s="1422"/>
      <c r="AG12" s="1422"/>
      <c r="AH12" s="1422"/>
      <c r="AI12" s="1422"/>
      <c r="AJ12" s="1422"/>
      <c r="AK12" s="1422"/>
      <c r="AL12" s="455"/>
    </row>
    <row r="13" spans="1:38">
      <c r="A13" s="204"/>
      <c r="B13" s="204"/>
      <c r="C13" s="205"/>
      <c r="D13" s="1422"/>
      <c r="E13" s="1422"/>
      <c r="F13" s="1422"/>
      <c r="G13" s="1422"/>
      <c r="H13" s="1422"/>
      <c r="I13" s="1422"/>
      <c r="J13" s="1422"/>
      <c r="K13" s="1422"/>
      <c r="L13" s="1422"/>
      <c r="M13" s="1422"/>
      <c r="N13" s="1422"/>
      <c r="O13" s="1422"/>
      <c r="P13" s="1422"/>
      <c r="Q13" s="1422"/>
      <c r="R13" s="1422"/>
      <c r="S13" s="1422"/>
      <c r="T13" s="1422"/>
      <c r="U13" s="1422"/>
      <c r="V13" s="1422"/>
      <c r="W13" s="1422"/>
      <c r="X13" s="1422"/>
      <c r="Y13" s="1422"/>
      <c r="Z13" s="1422"/>
      <c r="AA13" s="1422"/>
      <c r="AB13" s="1422"/>
      <c r="AC13" s="1422"/>
      <c r="AD13" s="1422"/>
      <c r="AE13" s="1422"/>
      <c r="AF13" s="1422"/>
      <c r="AG13" s="1422"/>
      <c r="AH13" s="1422"/>
      <c r="AI13" s="1422"/>
      <c r="AJ13" s="1422"/>
      <c r="AK13" s="142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22" t="s">
        <v>2521</v>
      </c>
      <c r="E15" s="1422"/>
      <c r="F15" s="1422"/>
      <c r="G15" s="1422"/>
      <c r="H15" s="1422"/>
      <c r="I15" s="1422"/>
      <c r="J15" s="1422"/>
      <c r="K15" s="1422"/>
      <c r="L15" s="1422"/>
      <c r="M15" s="1422"/>
      <c r="N15" s="1422"/>
      <c r="O15" s="1422"/>
      <c r="P15" s="1422"/>
      <c r="Q15" s="1422"/>
      <c r="R15" s="1422"/>
      <c r="S15" s="1422"/>
      <c r="T15" s="1422"/>
      <c r="U15" s="1422"/>
      <c r="V15" s="1422"/>
      <c r="W15" s="1422"/>
      <c r="X15" s="1422"/>
      <c r="Y15" s="1422"/>
      <c r="Z15" s="1422"/>
      <c r="AA15" s="1422"/>
      <c r="AB15" s="1422"/>
      <c r="AC15" s="1422"/>
      <c r="AD15" s="1422"/>
      <c r="AE15" s="1422"/>
      <c r="AF15" s="1422"/>
      <c r="AG15" s="1422"/>
      <c r="AH15" s="1422"/>
      <c r="AI15" s="1422"/>
      <c r="AJ15" s="1422"/>
      <c r="AK15" s="1422"/>
      <c r="AL15" s="455"/>
    </row>
    <row r="16" spans="1:38" ht="13.15" customHeight="1">
      <c r="A16" s="204"/>
      <c r="B16" s="204"/>
      <c r="C16" s="205"/>
      <c r="D16" s="1422"/>
      <c r="E16" s="1422"/>
      <c r="F16" s="1422"/>
      <c r="G16" s="1422"/>
      <c r="H16" s="1422"/>
      <c r="I16" s="1422"/>
      <c r="J16" s="1422"/>
      <c r="K16" s="1422"/>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AK16" s="1422"/>
      <c r="AL16" s="455"/>
    </row>
    <row r="17" spans="1:38">
      <c r="A17" s="204"/>
      <c r="B17" s="204"/>
      <c r="C17" s="205"/>
      <c r="D17" s="1422"/>
      <c r="E17" s="1422"/>
      <c r="F17" s="1422"/>
      <c r="G17" s="1422"/>
      <c r="H17" s="1422"/>
      <c r="I17" s="1422"/>
      <c r="J17" s="1422"/>
      <c r="K17" s="1422"/>
      <c r="L17" s="1422"/>
      <c r="M17" s="1422"/>
      <c r="N17" s="1422"/>
      <c r="O17" s="1422"/>
      <c r="P17" s="1422"/>
      <c r="Q17" s="1422"/>
      <c r="R17" s="1422"/>
      <c r="S17" s="1422"/>
      <c r="T17" s="1422"/>
      <c r="U17" s="1422"/>
      <c r="V17" s="1422"/>
      <c r="W17" s="1422"/>
      <c r="X17" s="1422"/>
      <c r="Y17" s="1422"/>
      <c r="Z17" s="1422"/>
      <c r="AA17" s="1422"/>
      <c r="AB17" s="1422"/>
      <c r="AC17" s="1422"/>
      <c r="AD17" s="1422"/>
      <c r="AE17" s="1422"/>
      <c r="AF17" s="1422"/>
      <c r="AG17" s="1422"/>
      <c r="AH17" s="1422"/>
      <c r="AI17" s="1422"/>
      <c r="AJ17" s="1422"/>
      <c r="AK17" s="1422"/>
      <c r="AL17" s="455"/>
    </row>
    <row r="18" spans="1:38">
      <c r="A18" s="204"/>
      <c r="B18" s="204"/>
      <c r="C18" s="205"/>
      <c r="D18" s="519" t="s">
        <v>2520</v>
      </c>
      <c r="E18" s="441"/>
      <c r="G18" s="441"/>
      <c r="H18" s="441"/>
      <c r="I18" s="441"/>
      <c r="J18" s="1806" t="s">
        <v>2519</v>
      </c>
      <c r="K18" s="1806"/>
      <c r="L18" s="1806"/>
      <c r="M18" s="1806"/>
      <c r="N18" s="1806"/>
      <c r="O18" s="1806"/>
      <c r="P18" s="1806"/>
      <c r="Q18" s="1806"/>
      <c r="R18" s="1806"/>
      <c r="S18" s="1806"/>
      <c r="T18" s="1806"/>
      <c r="U18" s="1806"/>
      <c r="V18" s="1806"/>
      <c r="W18" s="1806"/>
      <c r="X18" s="1806"/>
      <c r="Y18" s="1806"/>
      <c r="Z18" s="1806"/>
      <c r="AA18" s="1806"/>
      <c r="AB18" s="1806"/>
      <c r="AC18" s="1806"/>
      <c r="AD18" s="1806"/>
      <c r="AE18" s="1806"/>
      <c r="AF18" s="1806"/>
      <c r="AG18" s="1806"/>
      <c r="AH18" s="1806"/>
      <c r="AI18" s="1806"/>
      <c r="AJ18" s="1806"/>
      <c r="AK18" s="1806"/>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22" t="s">
        <v>1994</v>
      </c>
      <c r="E20" s="1422"/>
      <c r="F20" s="1422"/>
      <c r="G20" s="1422"/>
      <c r="H20" s="1422"/>
      <c r="I20" s="1422"/>
      <c r="J20" s="1422"/>
      <c r="K20" s="1422"/>
      <c r="L20" s="1422"/>
      <c r="M20" s="1422"/>
      <c r="N20" s="1422"/>
      <c r="O20" s="1422"/>
      <c r="P20" s="1422"/>
      <c r="Q20" s="1422"/>
      <c r="R20" s="1422"/>
      <c r="S20" s="1422"/>
      <c r="T20" s="1422"/>
      <c r="U20" s="1422"/>
      <c r="V20" s="1422"/>
      <c r="W20" s="1422"/>
      <c r="X20" s="1422"/>
      <c r="Y20" s="1422"/>
      <c r="Z20" s="1422"/>
      <c r="AA20" s="1422"/>
      <c r="AB20" s="1422"/>
      <c r="AC20" s="1422"/>
      <c r="AD20" s="1422"/>
      <c r="AE20" s="1422"/>
      <c r="AF20" s="1422"/>
      <c r="AG20" s="1422"/>
      <c r="AH20" s="1422"/>
      <c r="AI20" s="1422"/>
      <c r="AJ20" s="1422"/>
      <c r="AK20" s="1422"/>
      <c r="AL20" s="204"/>
    </row>
    <row r="21" spans="1:38">
      <c r="A21" s="204"/>
      <c r="B21" s="204"/>
      <c r="C21" s="205"/>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204"/>
    </row>
    <row r="22" spans="1:38">
      <c r="A22" s="204"/>
      <c r="B22" s="204"/>
      <c r="C22" s="205"/>
      <c r="D22" s="1422"/>
      <c r="E22" s="1422"/>
      <c r="F22" s="1422"/>
      <c r="G22" s="1422"/>
      <c r="H22" s="1422"/>
      <c r="I22" s="1422"/>
      <c r="J22" s="1422"/>
      <c r="K22" s="1422"/>
      <c r="L22" s="1422"/>
      <c r="M22" s="1422"/>
      <c r="N22" s="1422"/>
      <c r="O22" s="1422"/>
      <c r="P22" s="1422"/>
      <c r="Q22" s="1422"/>
      <c r="R22" s="1422"/>
      <c r="S22" s="1422"/>
      <c r="T22" s="1422"/>
      <c r="U22" s="1422"/>
      <c r="V22" s="1422"/>
      <c r="W22" s="1422"/>
      <c r="X22" s="1422"/>
      <c r="Y22" s="1422"/>
      <c r="Z22" s="1422"/>
      <c r="AA22" s="1422"/>
      <c r="AB22" s="1422"/>
      <c r="AC22" s="1422"/>
      <c r="AD22" s="1422"/>
      <c r="AE22" s="1422"/>
      <c r="AF22" s="1422"/>
      <c r="AG22" s="1422"/>
      <c r="AH22" s="1422"/>
      <c r="AI22" s="1422"/>
      <c r="AJ22" s="1422"/>
      <c r="AK22" s="1422"/>
      <c r="AL22" s="204"/>
    </row>
    <row r="23" spans="1:38" ht="13.15" customHeight="1">
      <c r="A23" s="204"/>
      <c r="B23" s="204"/>
      <c r="C23" s="205"/>
      <c r="D23" s="1422"/>
      <c r="E23" s="1422"/>
      <c r="F23" s="1422"/>
      <c r="G23" s="1422"/>
      <c r="H23" s="1422"/>
      <c r="I23" s="1422"/>
      <c r="J23" s="1422"/>
      <c r="K23" s="1422"/>
      <c r="L23" s="1422"/>
      <c r="M23" s="1422"/>
      <c r="N23" s="1422"/>
      <c r="O23" s="1422"/>
      <c r="P23" s="1422"/>
      <c r="Q23" s="1422"/>
      <c r="R23" s="1422"/>
      <c r="S23" s="1422"/>
      <c r="T23" s="1422"/>
      <c r="U23" s="1422"/>
      <c r="V23" s="1422"/>
      <c r="W23" s="1422"/>
      <c r="X23" s="1422"/>
      <c r="Y23" s="1422"/>
      <c r="Z23" s="1422"/>
      <c r="AA23" s="1422"/>
      <c r="AB23" s="1422"/>
      <c r="AC23" s="1422"/>
      <c r="AD23" s="1422"/>
      <c r="AE23" s="1422"/>
      <c r="AF23" s="1422"/>
      <c r="AG23" s="1422"/>
      <c r="AH23" s="1422"/>
      <c r="AI23" s="1422"/>
      <c r="AJ23" s="1422"/>
      <c r="AK23" s="1422"/>
      <c r="AL23" s="204"/>
    </row>
    <row r="24" spans="1:38">
      <c r="A24" s="204"/>
      <c r="B24" s="204"/>
      <c r="C24" s="205"/>
      <c r="D24" s="1422"/>
      <c r="E24" s="1422"/>
      <c r="F24" s="1422"/>
      <c r="G24" s="1422"/>
      <c r="H24" s="1422"/>
      <c r="I24" s="1422"/>
      <c r="J24" s="1422"/>
      <c r="K24" s="1422"/>
      <c r="L24" s="1422"/>
      <c r="M24" s="1422"/>
      <c r="N24" s="1422"/>
      <c r="O24" s="1422"/>
      <c r="P24" s="1422"/>
      <c r="Q24" s="1422"/>
      <c r="R24" s="1422"/>
      <c r="S24" s="1422"/>
      <c r="T24" s="1422"/>
      <c r="U24" s="1422"/>
      <c r="V24" s="1422"/>
      <c r="W24" s="1422"/>
      <c r="X24" s="1422"/>
      <c r="Y24" s="1422"/>
      <c r="Z24" s="1422"/>
      <c r="AA24" s="1422"/>
      <c r="AB24" s="1422"/>
      <c r="AC24" s="1422"/>
      <c r="AD24" s="1422"/>
      <c r="AE24" s="1422"/>
      <c r="AF24" s="1422"/>
      <c r="AG24" s="1422"/>
      <c r="AH24" s="1422"/>
      <c r="AI24" s="1422"/>
      <c r="AJ24" s="1422"/>
      <c r="AK24" s="1422"/>
      <c r="AL24" s="204"/>
    </row>
    <row r="25" spans="1:38">
      <c r="A25" s="204"/>
      <c r="B25" s="204"/>
      <c r="C25" s="205"/>
      <c r="D25" s="1422"/>
      <c r="E25" s="1422"/>
      <c r="F25" s="1422"/>
      <c r="G25" s="1422"/>
      <c r="H25" s="1422"/>
      <c r="I25" s="1422"/>
      <c r="J25" s="1422"/>
      <c r="K25" s="1422"/>
      <c r="L25" s="1422"/>
      <c r="M25" s="1422"/>
      <c r="N25" s="1422"/>
      <c r="O25" s="1422"/>
      <c r="P25" s="1422"/>
      <c r="Q25" s="1422"/>
      <c r="R25" s="1422"/>
      <c r="S25" s="1422"/>
      <c r="T25" s="1422"/>
      <c r="U25" s="1422"/>
      <c r="V25" s="1422"/>
      <c r="W25" s="1422"/>
      <c r="X25" s="1422"/>
      <c r="Y25" s="1422"/>
      <c r="Z25" s="1422"/>
      <c r="AA25" s="1422"/>
      <c r="AB25" s="1422"/>
      <c r="AC25" s="1422"/>
      <c r="AD25" s="1422"/>
      <c r="AE25" s="1422"/>
      <c r="AF25" s="1422"/>
      <c r="AG25" s="1422"/>
      <c r="AH25" s="1422"/>
      <c r="AI25" s="1422"/>
      <c r="AJ25" s="1422"/>
      <c r="AK25" s="1422"/>
      <c r="AL25" s="204"/>
    </row>
    <row r="26" spans="1:38">
      <c r="A26" s="204"/>
      <c r="B26" s="204"/>
      <c r="C26" s="205"/>
      <c r="D26" s="1422"/>
      <c r="E26" s="1422"/>
      <c r="F26" s="1422"/>
      <c r="G26" s="1422"/>
      <c r="H26" s="1422"/>
      <c r="I26" s="1422"/>
      <c r="J26" s="1422"/>
      <c r="K26" s="1422"/>
      <c r="L26" s="1422"/>
      <c r="M26" s="1422"/>
      <c r="N26" s="1422"/>
      <c r="O26" s="1422"/>
      <c r="P26" s="1422"/>
      <c r="Q26" s="1422"/>
      <c r="R26" s="1422"/>
      <c r="S26" s="1422"/>
      <c r="T26" s="1422"/>
      <c r="U26" s="1422"/>
      <c r="V26" s="1422"/>
      <c r="W26" s="1422"/>
      <c r="X26" s="1422"/>
      <c r="Y26" s="1422"/>
      <c r="Z26" s="1422"/>
      <c r="AA26" s="1422"/>
      <c r="AB26" s="1422"/>
      <c r="AC26" s="1422"/>
      <c r="AD26" s="1422"/>
      <c r="AE26" s="1422"/>
      <c r="AF26" s="1422"/>
      <c r="AG26" s="1422"/>
      <c r="AH26" s="1422"/>
      <c r="AI26" s="1422"/>
      <c r="AJ26" s="1422"/>
      <c r="AK26" s="1422"/>
      <c r="AL26" s="204"/>
    </row>
    <row r="27" spans="1:38">
      <c r="A27" s="204"/>
      <c r="B27" s="204"/>
      <c r="C27" s="205"/>
      <c r="D27" s="1422"/>
      <c r="E27" s="1422"/>
      <c r="F27" s="1422"/>
      <c r="G27" s="1422"/>
      <c r="H27" s="1422"/>
      <c r="I27" s="1422"/>
      <c r="J27" s="1422"/>
      <c r="K27" s="1422"/>
      <c r="L27" s="1422"/>
      <c r="M27" s="1422"/>
      <c r="N27" s="1422"/>
      <c r="O27" s="1422"/>
      <c r="P27" s="1422"/>
      <c r="Q27" s="1422"/>
      <c r="R27" s="1422"/>
      <c r="S27" s="1422"/>
      <c r="T27" s="1422"/>
      <c r="U27" s="1422"/>
      <c r="V27" s="1422"/>
      <c r="W27" s="1422"/>
      <c r="X27" s="1422"/>
      <c r="Y27" s="1422"/>
      <c r="Z27" s="1422"/>
      <c r="AA27" s="1422"/>
      <c r="AB27" s="1422"/>
      <c r="AC27" s="1422"/>
      <c r="AD27" s="1422"/>
      <c r="AE27" s="1422"/>
      <c r="AF27" s="1422"/>
      <c r="AG27" s="1422"/>
      <c r="AH27" s="1422"/>
      <c r="AI27" s="1422"/>
      <c r="AJ27" s="1422"/>
      <c r="AK27" s="1422"/>
      <c r="AL27" s="204"/>
    </row>
    <row r="28" spans="1:38">
      <c r="A28" s="204"/>
      <c r="B28" s="204"/>
      <c r="C28" s="205"/>
      <c r="D28" s="1422"/>
      <c r="E28" s="1422"/>
      <c r="F28" s="1422"/>
      <c r="G28" s="1422"/>
      <c r="H28" s="1422"/>
      <c r="I28" s="1422"/>
      <c r="J28" s="1422"/>
      <c r="K28" s="1422"/>
      <c r="L28" s="1422"/>
      <c r="M28" s="1422"/>
      <c r="N28" s="1422"/>
      <c r="O28" s="1422"/>
      <c r="P28" s="1422"/>
      <c r="Q28" s="1422"/>
      <c r="R28" s="1422"/>
      <c r="S28" s="1422"/>
      <c r="T28" s="1422"/>
      <c r="U28" s="1422"/>
      <c r="V28" s="1422"/>
      <c r="W28" s="1422"/>
      <c r="X28" s="1422"/>
      <c r="Y28" s="1422"/>
      <c r="Z28" s="1422"/>
      <c r="AA28" s="1422"/>
      <c r="AB28" s="1422"/>
      <c r="AC28" s="1422"/>
      <c r="AD28" s="1422"/>
      <c r="AE28" s="1422"/>
      <c r="AF28" s="1422"/>
      <c r="AG28" s="1422"/>
      <c r="AH28" s="1422"/>
      <c r="AI28" s="1422"/>
      <c r="AJ28" s="1422"/>
      <c r="AK28" s="142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22" t="s">
        <v>1995</v>
      </c>
      <c r="E30" s="1422"/>
      <c r="F30" s="1422"/>
      <c r="G30" s="1422"/>
      <c r="H30" s="1422"/>
      <c r="I30" s="1422"/>
      <c r="J30" s="1422"/>
      <c r="K30" s="1422"/>
      <c r="L30" s="1422"/>
      <c r="M30" s="1422"/>
      <c r="N30" s="1422"/>
      <c r="O30" s="1422"/>
      <c r="P30" s="1422"/>
      <c r="Q30" s="1422"/>
      <c r="R30" s="1422"/>
      <c r="S30" s="1422"/>
      <c r="T30" s="1422"/>
      <c r="U30" s="1422"/>
      <c r="V30" s="1422"/>
      <c r="W30" s="1422"/>
      <c r="X30" s="1422"/>
      <c r="Y30" s="1422"/>
      <c r="Z30" s="1422"/>
      <c r="AA30" s="1422"/>
      <c r="AB30" s="1422"/>
      <c r="AC30" s="1422"/>
      <c r="AD30" s="1422"/>
      <c r="AE30" s="1422"/>
      <c r="AF30" s="1422"/>
      <c r="AG30" s="1422"/>
      <c r="AH30" s="1422"/>
      <c r="AI30" s="1422"/>
      <c r="AJ30" s="1422"/>
      <c r="AK30" s="1422"/>
      <c r="AL30" s="204"/>
    </row>
    <row r="31" spans="1:38">
      <c r="A31" s="204"/>
      <c r="B31" s="204"/>
      <c r="C31" s="205"/>
      <c r="D31" s="455"/>
      <c r="E31" s="1811" t="s">
        <v>2595</v>
      </c>
      <c r="F31" s="1812"/>
      <c r="G31" s="1812"/>
      <c r="H31" s="1812"/>
      <c r="I31" s="1812"/>
      <c r="J31" s="1812"/>
      <c r="K31" s="1812"/>
      <c r="L31" s="1812"/>
      <c r="M31" s="1812"/>
      <c r="N31" s="1812"/>
      <c r="O31" s="1812"/>
      <c r="P31" s="1812"/>
      <c r="Q31" s="1812"/>
      <c r="R31" s="1812"/>
      <c r="S31" s="1812"/>
      <c r="T31" s="1812"/>
      <c r="U31" s="1812"/>
      <c r="V31" s="1812"/>
      <c r="W31" s="1812"/>
      <c r="X31" s="1812"/>
      <c r="Y31" s="1812"/>
      <c r="Z31" s="1812"/>
      <c r="AA31" s="1812"/>
      <c r="AB31" s="1812"/>
      <c r="AC31" s="1812"/>
      <c r="AD31" s="1812"/>
      <c r="AE31" s="1812"/>
      <c r="AF31" s="1812"/>
      <c r="AG31" s="1812"/>
      <c r="AH31" s="1812"/>
      <c r="AI31" s="1812"/>
      <c r="AJ31" s="1812"/>
      <c r="AK31" s="1812"/>
      <c r="AL31" s="204"/>
    </row>
    <row r="32" spans="1:38">
      <c r="A32" s="4"/>
      <c r="C32" s="2"/>
    </row>
    <row r="33" spans="1:38">
      <c r="A33" s="4"/>
      <c r="D33" s="1805" t="s">
        <v>2095</v>
      </c>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row>
    <row r="34" spans="1:38">
      <c r="A34" s="4"/>
      <c r="D34" s="1805"/>
      <c r="E34" s="1805"/>
      <c r="F34" s="1805"/>
      <c r="G34" s="1805"/>
      <c r="H34" s="1805"/>
      <c r="I34" s="1805"/>
      <c r="J34" s="1805"/>
      <c r="K34" s="1805"/>
      <c r="L34" s="1805"/>
      <c r="M34" s="1805"/>
      <c r="N34" s="1805"/>
      <c r="O34" s="1805"/>
      <c r="P34" s="1805"/>
      <c r="Q34" s="1805"/>
      <c r="R34" s="1805"/>
      <c r="S34" s="1805"/>
      <c r="T34" s="1805"/>
      <c r="U34" s="1805"/>
      <c r="V34" s="1805"/>
      <c r="W34" s="1805"/>
      <c r="X34" s="1805"/>
      <c r="Y34" s="1805"/>
      <c r="Z34" s="1805"/>
      <c r="AA34" s="1805"/>
      <c r="AB34" s="1805"/>
      <c r="AC34" s="1805"/>
      <c r="AD34" s="1805"/>
      <c r="AE34" s="1805"/>
      <c r="AF34" s="1805"/>
      <c r="AG34" s="1805"/>
      <c r="AH34" s="1805"/>
      <c r="AI34" s="1805"/>
      <c r="AJ34" s="1805"/>
      <c r="AK34" s="1805"/>
    </row>
    <row r="35" spans="1:38">
      <c r="A35" s="4"/>
      <c r="D35" s="120"/>
      <c r="E35" s="1810" t="s">
        <v>2596</v>
      </c>
      <c r="F35" s="1810"/>
      <c r="G35" s="1810"/>
      <c r="H35" s="1810"/>
      <c r="I35" s="1810"/>
      <c r="J35" s="1810"/>
      <c r="K35" s="1810"/>
      <c r="L35" s="1810"/>
      <c r="M35" s="1810"/>
      <c r="N35" s="1810"/>
      <c r="O35" s="1810"/>
      <c r="P35" s="1810"/>
      <c r="Q35" s="1810"/>
      <c r="R35" s="1810"/>
      <c r="S35" s="1810"/>
      <c r="T35" s="1810"/>
      <c r="U35" s="1810"/>
      <c r="V35" s="1810"/>
      <c r="W35" s="1810"/>
      <c r="X35" s="1810"/>
      <c r="Y35" s="1810"/>
      <c r="Z35" s="1810"/>
      <c r="AA35" s="1810"/>
      <c r="AB35" s="1810"/>
      <c r="AC35" s="1810"/>
      <c r="AD35" s="1810"/>
      <c r="AE35" s="1810"/>
      <c r="AF35" s="1810"/>
      <c r="AG35" s="1810"/>
      <c r="AH35" s="1810"/>
      <c r="AI35" s="1810"/>
      <c r="AJ35" s="1810"/>
      <c r="AK35" s="1810"/>
    </row>
    <row r="36" spans="1:38">
      <c r="A36" s="4"/>
      <c r="D36" s="120"/>
      <c r="E36" s="1810" t="s">
        <v>2597</v>
      </c>
      <c r="F36" s="1810"/>
      <c r="G36" s="1810"/>
      <c r="H36" s="1810"/>
      <c r="I36" s="1810"/>
      <c r="J36" s="1810"/>
      <c r="K36" s="1810"/>
      <c r="L36" s="1810"/>
      <c r="M36" s="1810"/>
      <c r="N36" s="1810"/>
      <c r="O36" s="1810"/>
      <c r="P36" s="1810"/>
      <c r="Q36" s="1810"/>
      <c r="R36" s="1810"/>
      <c r="S36" s="1810"/>
      <c r="T36" s="1810"/>
      <c r="U36" s="1810"/>
      <c r="V36" s="1810"/>
      <c r="W36" s="1810"/>
      <c r="X36" s="1810"/>
      <c r="Y36" s="1810"/>
      <c r="Z36" s="1810"/>
      <c r="AA36" s="1810"/>
      <c r="AB36" s="1810"/>
      <c r="AC36" s="1810"/>
      <c r="AD36" s="1810"/>
      <c r="AE36" s="1810"/>
      <c r="AF36" s="1810"/>
      <c r="AG36" s="1810"/>
      <c r="AH36" s="1810"/>
      <c r="AI36" s="1810"/>
      <c r="AJ36" s="1810"/>
      <c r="AK36" s="1810"/>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422" customFormat="1" ht="13.15" customHeight="1">
      <c r="A40" s="4"/>
      <c r="B40"/>
      <c r="C40" s="2"/>
      <c r="D40" s="4"/>
      <c r="E40" s="4" t="s">
        <v>652</v>
      </c>
      <c r="F40" s="1422" t="s">
        <v>1163</v>
      </c>
    </row>
    <row r="41" spans="1:38" s="1422" customFormat="1" ht="13.1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320" t="s">
        <v>1245</v>
      </c>
      <c r="G43" s="1320"/>
      <c r="H43" s="1320"/>
      <c r="I43" s="1320"/>
      <c r="J43" s="1320"/>
      <c r="K43" s="1320"/>
      <c r="L43" s="1320"/>
      <c r="M43" s="1320"/>
      <c r="N43" s="1320"/>
      <c r="O43" s="1320"/>
      <c r="P43" s="1320"/>
      <c r="Q43" s="1320"/>
      <c r="R43" s="1320"/>
      <c r="S43" s="1320"/>
      <c r="T43" s="1320"/>
      <c r="U43" s="1320"/>
      <c r="V43" s="1320"/>
      <c r="W43" s="1320"/>
      <c r="X43" s="1320"/>
      <c r="Y43" s="1320"/>
      <c r="Z43" s="1320"/>
      <c r="AA43" s="1320"/>
      <c r="AB43" s="1320"/>
      <c r="AC43" s="1320"/>
      <c r="AD43" s="1320"/>
      <c r="AE43" s="1320"/>
      <c r="AF43" s="1320"/>
      <c r="AG43" s="1320"/>
      <c r="AH43" s="1320"/>
      <c r="AI43" s="1320"/>
      <c r="AJ43" s="1320"/>
      <c r="AK43" s="1320"/>
      <c r="AL43" s="1320"/>
    </row>
    <row r="44" spans="1:38" s="118" customFormat="1">
      <c r="A44" s="4"/>
      <c r="B44"/>
      <c r="C44" s="2"/>
      <c r="D44" s="4"/>
      <c r="E44" s="4"/>
      <c r="F44" s="1320"/>
      <c r="G44" s="1320"/>
      <c r="H44" s="1320"/>
      <c r="I44" s="1320"/>
      <c r="J44" s="1320"/>
      <c r="K44" s="1320"/>
      <c r="L44" s="1320"/>
      <c r="M44" s="1320"/>
      <c r="N44" s="1320"/>
      <c r="O44" s="1320"/>
      <c r="P44" s="1320"/>
      <c r="Q44" s="1320"/>
      <c r="R44" s="1320"/>
      <c r="S44" s="1320"/>
      <c r="T44" s="1320"/>
      <c r="U44" s="1320"/>
      <c r="V44" s="1320"/>
      <c r="W44" s="1320"/>
      <c r="X44" s="1320"/>
      <c r="Y44" s="1320"/>
      <c r="Z44" s="1320"/>
      <c r="AA44" s="1320"/>
      <c r="AB44" s="1320"/>
      <c r="AC44" s="1320"/>
      <c r="AD44" s="1320"/>
      <c r="AE44" s="1320"/>
      <c r="AF44" s="1320"/>
      <c r="AG44" s="1320"/>
      <c r="AH44" s="1320"/>
      <c r="AI44" s="1320"/>
      <c r="AJ44" s="1320"/>
      <c r="AK44" s="1320"/>
      <c r="AL44" s="1320"/>
    </row>
    <row r="45" spans="1:38" s="118" customFormat="1" ht="13.15" customHeight="1">
      <c r="A45" s="4"/>
      <c r="B45"/>
      <c r="C45" s="2"/>
      <c r="D45" s="4"/>
      <c r="E45" s="4"/>
      <c r="F45" s="1320"/>
      <c r="G45" s="1320"/>
      <c r="H45" s="1320"/>
      <c r="I45" s="1320"/>
      <c r="J45" s="1320"/>
      <c r="K45" s="1320"/>
      <c r="L45" s="1320"/>
      <c r="M45" s="1320"/>
      <c r="N45" s="1320"/>
      <c r="O45" s="1320"/>
      <c r="P45" s="1320"/>
      <c r="Q45" s="1320"/>
      <c r="R45" s="1320"/>
      <c r="S45" s="1320"/>
      <c r="T45" s="1320"/>
      <c r="U45" s="1320"/>
      <c r="V45" s="1320"/>
      <c r="W45" s="1320"/>
      <c r="X45" s="1320"/>
      <c r="Y45" s="1320"/>
      <c r="Z45" s="1320"/>
      <c r="AA45" s="1320"/>
      <c r="AB45" s="1320"/>
      <c r="AC45" s="1320"/>
      <c r="AD45" s="1320"/>
      <c r="AE45" s="1320"/>
      <c r="AF45" s="1320"/>
      <c r="AG45" s="1320"/>
      <c r="AH45" s="1320"/>
      <c r="AI45" s="1320"/>
      <c r="AJ45" s="1320"/>
      <c r="AK45" s="1320"/>
      <c r="AL45" s="1320"/>
    </row>
    <row r="46" spans="1:38">
      <c r="A46" s="4"/>
      <c r="C46" s="2"/>
      <c r="D46" s="4"/>
      <c r="E46" s="4"/>
      <c r="F46" s="118" t="s">
        <v>686</v>
      </c>
      <c r="G46" s="3" t="s">
        <v>1996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422" t="s">
        <v>1997</v>
      </c>
      <c r="G48" s="1422"/>
      <c r="H48" s="1422"/>
      <c r="I48" s="1422"/>
      <c r="J48" s="1422"/>
      <c r="K48" s="1422"/>
      <c r="L48" s="1422"/>
      <c r="M48" s="1422"/>
      <c r="N48" s="1422"/>
      <c r="O48" s="1422"/>
      <c r="P48" s="1422"/>
      <c r="Q48" s="1422"/>
      <c r="R48" s="1422"/>
      <c r="S48" s="1422"/>
      <c r="T48" s="1422"/>
      <c r="U48" s="1422"/>
      <c r="V48" s="1422"/>
      <c r="W48" s="1422"/>
      <c r="X48" s="1422"/>
      <c r="Y48" s="1422"/>
      <c r="Z48" s="1422"/>
      <c r="AA48" s="1422"/>
      <c r="AB48" s="1422"/>
      <c r="AC48" s="1422"/>
      <c r="AD48" s="1422"/>
      <c r="AE48" s="1422"/>
      <c r="AF48" s="1422"/>
      <c r="AG48" s="1422"/>
      <c r="AH48" s="1422"/>
      <c r="AI48" s="1422"/>
      <c r="AJ48" s="1422"/>
      <c r="AK48" s="1422"/>
    </row>
    <row r="49" spans="1:38">
      <c r="A49" s="4"/>
      <c r="C49" s="2"/>
      <c r="D49" s="4"/>
      <c r="E49" s="4"/>
      <c r="F49" s="1422"/>
      <c r="G49" s="1422"/>
      <c r="H49" s="1422"/>
      <c r="I49" s="1422"/>
      <c r="J49" s="1422"/>
      <c r="K49" s="1422"/>
      <c r="L49" s="1422"/>
      <c r="M49" s="1422"/>
      <c r="N49" s="1422"/>
      <c r="O49" s="1422"/>
      <c r="P49" s="1422"/>
      <c r="Q49" s="1422"/>
      <c r="R49" s="1422"/>
      <c r="S49" s="1422"/>
      <c r="T49" s="1422"/>
      <c r="U49" s="1422"/>
      <c r="V49" s="1422"/>
      <c r="W49" s="1422"/>
      <c r="X49" s="1422"/>
      <c r="Y49" s="1422"/>
      <c r="Z49" s="1422"/>
      <c r="AA49" s="1422"/>
      <c r="AB49" s="1422"/>
      <c r="AC49" s="1422"/>
      <c r="AD49" s="1422"/>
      <c r="AE49" s="1422"/>
      <c r="AF49" s="1422"/>
      <c r="AG49" s="1422"/>
      <c r="AH49" s="1422"/>
      <c r="AI49" s="1422"/>
      <c r="AJ49" s="1422"/>
      <c r="AK49" s="1422"/>
    </row>
    <row r="50" spans="1:38">
      <c r="A50" s="4"/>
      <c r="C50" s="2"/>
      <c r="D50" s="4"/>
      <c r="F50" s="1422"/>
      <c r="G50" s="1422"/>
      <c r="H50" s="1422"/>
      <c r="I50" s="1422"/>
      <c r="J50" s="1422"/>
      <c r="K50" s="1422"/>
      <c r="L50" s="1422"/>
      <c r="M50" s="1422"/>
      <c r="N50" s="1422"/>
      <c r="O50" s="1422"/>
      <c r="P50" s="1422"/>
      <c r="Q50" s="1422"/>
      <c r="R50" s="1422"/>
      <c r="S50" s="1422"/>
      <c r="T50" s="1422"/>
      <c r="U50" s="1422"/>
      <c r="V50" s="1422"/>
      <c r="W50" s="1422"/>
      <c r="X50" s="1422"/>
      <c r="Y50" s="1422"/>
      <c r="Z50" s="1422"/>
      <c r="AA50" s="1422"/>
      <c r="AB50" s="1422"/>
      <c r="AC50" s="1422"/>
      <c r="AD50" s="1422"/>
      <c r="AE50" s="1422"/>
      <c r="AF50" s="1422"/>
      <c r="AG50" s="1422"/>
      <c r="AH50" s="1422"/>
      <c r="AI50" s="1422"/>
      <c r="AJ50" s="1422"/>
      <c r="AK50" s="142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807" t="s">
        <v>1190</v>
      </c>
      <c r="H54" s="1807"/>
      <c r="I54" s="1807"/>
      <c r="J54" s="1807"/>
      <c r="K54" s="1807"/>
      <c r="L54" s="1807"/>
      <c r="M54" s="1807"/>
      <c r="N54" s="1807"/>
      <c r="O54" s="1807"/>
      <c r="P54" s="1807"/>
      <c r="Q54" s="1807"/>
      <c r="R54" s="1807"/>
      <c r="S54" s="1807"/>
      <c r="T54" s="1807"/>
      <c r="U54" s="1807"/>
      <c r="V54" s="1807"/>
      <c r="W54" s="1807"/>
      <c r="X54" s="1807"/>
      <c r="Y54" s="1807"/>
      <c r="Z54" s="1807"/>
      <c r="AA54" s="1807"/>
      <c r="AB54" s="1807"/>
      <c r="AC54" s="1807"/>
      <c r="AD54" s="1807"/>
      <c r="AE54" s="1807"/>
      <c r="AF54" s="1807"/>
      <c r="AG54" s="1807"/>
      <c r="AH54" s="1807"/>
      <c r="AI54" s="1807"/>
      <c r="AJ54" s="1807"/>
      <c r="AK54" s="1807"/>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807" t="s">
        <v>574</v>
      </c>
      <c r="H56" s="1807"/>
      <c r="I56" s="180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807" t="s">
        <v>1998</v>
      </c>
      <c r="H57" s="1807"/>
      <c r="I57" s="1807"/>
      <c r="J57" s="1807"/>
      <c r="K57" s="1807"/>
      <c r="L57" s="1807"/>
      <c r="M57" s="1807"/>
      <c r="N57" s="1807"/>
      <c r="O57" s="1807"/>
      <c r="P57" s="1807"/>
      <c r="Q57" s="1807"/>
      <c r="R57" s="1807"/>
      <c r="S57" s="1807"/>
      <c r="T57" s="1807"/>
      <c r="U57" s="1807"/>
      <c r="V57" s="1807"/>
      <c r="W57" s="1807"/>
      <c r="X57" s="1807"/>
      <c r="Y57" s="1807"/>
      <c r="Z57" s="1807"/>
      <c r="AA57" s="1807"/>
      <c r="AB57" s="1807"/>
      <c r="AC57" s="1807"/>
      <c r="AD57" s="1807"/>
      <c r="AE57" s="1807"/>
      <c r="AF57" s="1807"/>
      <c r="AG57" s="1807"/>
      <c r="AH57" s="1807"/>
      <c r="AI57" s="1807"/>
      <c r="AJ57" s="1807"/>
      <c r="AK57" s="1807"/>
      <c r="AL57" s="1807"/>
    </row>
    <row r="58" spans="1:38">
      <c r="A58" s="204"/>
      <c r="B58" s="204"/>
      <c r="C58" s="205"/>
      <c r="D58" s="205"/>
      <c r="E58" s="204"/>
      <c r="F58" s="206"/>
      <c r="G58" s="1807"/>
      <c r="H58" s="1807"/>
      <c r="I58" s="1807"/>
      <c r="J58" s="1807"/>
      <c r="K58" s="1807"/>
      <c r="L58" s="1807"/>
      <c r="M58" s="1807"/>
      <c r="N58" s="1807"/>
      <c r="O58" s="1807"/>
      <c r="P58" s="1807"/>
      <c r="Q58" s="1807"/>
      <c r="R58" s="1807"/>
      <c r="S58" s="1807"/>
      <c r="T58" s="1807"/>
      <c r="U58" s="1807"/>
      <c r="V58" s="1807"/>
      <c r="W58" s="1807"/>
      <c r="X58" s="1807"/>
      <c r="Y58" s="1807"/>
      <c r="Z58" s="1807"/>
      <c r="AA58" s="1807"/>
      <c r="AB58" s="1807"/>
      <c r="AC58" s="1807"/>
      <c r="AD58" s="1807"/>
      <c r="AE58" s="1807"/>
      <c r="AF58" s="1807"/>
      <c r="AG58" s="1807"/>
      <c r="AH58" s="1807"/>
      <c r="AI58" s="1807"/>
      <c r="AJ58" s="1807"/>
      <c r="AK58" s="1807"/>
      <c r="AL58" s="1807"/>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422" t="s">
        <v>1165</v>
      </c>
      <c r="H64" s="1422"/>
      <c r="I64" s="1422"/>
      <c r="J64" s="1422"/>
      <c r="K64" s="1422"/>
      <c r="L64" s="1422"/>
      <c r="M64" s="1422"/>
      <c r="N64" s="1422"/>
      <c r="O64" s="1422"/>
      <c r="P64" s="1422"/>
      <c r="Q64" s="1422"/>
      <c r="R64" s="1422"/>
      <c r="S64" s="1422"/>
      <c r="T64" s="1422"/>
      <c r="U64" s="1422"/>
      <c r="V64" s="1422"/>
      <c r="W64" s="1422"/>
      <c r="X64" s="1422"/>
      <c r="Y64" s="1422"/>
      <c r="Z64" s="1422"/>
      <c r="AA64" s="1422"/>
      <c r="AB64" s="1422"/>
      <c r="AC64" s="1422"/>
      <c r="AD64" s="1422"/>
      <c r="AE64" s="1422"/>
      <c r="AF64" s="1422"/>
      <c r="AG64" s="1422"/>
      <c r="AH64" s="1422"/>
      <c r="AI64" s="1422"/>
      <c r="AJ64" s="1422"/>
      <c r="AK64" s="1422"/>
    </row>
    <row r="65" spans="1:37">
      <c r="A65" s="4"/>
      <c r="C65" s="2"/>
      <c r="D65" s="4"/>
      <c r="E65" s="4"/>
      <c r="G65" s="1422"/>
      <c r="H65" s="1422"/>
      <c r="I65" s="1422"/>
      <c r="J65" s="1422"/>
      <c r="K65" s="1422"/>
      <c r="L65" s="1422"/>
      <c r="M65" s="1422"/>
      <c r="N65" s="1422"/>
      <c r="O65" s="1422"/>
      <c r="P65" s="1422"/>
      <c r="Q65" s="1422"/>
      <c r="R65" s="1422"/>
      <c r="S65" s="1422"/>
      <c r="T65" s="1422"/>
      <c r="U65" s="1422"/>
      <c r="V65" s="1422"/>
      <c r="W65" s="1422"/>
      <c r="X65" s="1422"/>
      <c r="Y65" s="1422"/>
      <c r="Z65" s="1422"/>
      <c r="AA65" s="1422"/>
      <c r="AB65" s="1422"/>
      <c r="AC65" s="1422"/>
      <c r="AD65" s="1422"/>
      <c r="AE65" s="1422"/>
      <c r="AF65" s="1422"/>
      <c r="AG65" s="1422"/>
      <c r="AH65" s="1422"/>
      <c r="AI65" s="1422"/>
      <c r="AJ65" s="1422"/>
      <c r="AK65" s="1422"/>
    </row>
    <row r="66" spans="1:37">
      <c r="A66" s="4"/>
      <c r="C66" s="2"/>
      <c r="D66" s="4"/>
      <c r="E66" s="4"/>
      <c r="G66" s="1422"/>
      <c r="H66" s="1422"/>
      <c r="I66" s="1422"/>
      <c r="J66" s="1422"/>
      <c r="K66" s="1422"/>
      <c r="L66" s="1422"/>
      <c r="M66" s="1422"/>
      <c r="N66" s="1422"/>
      <c r="O66" s="1422"/>
      <c r="P66" s="1422"/>
      <c r="Q66" s="1422"/>
      <c r="R66" s="1422"/>
      <c r="S66" s="1422"/>
      <c r="T66" s="1422"/>
      <c r="U66" s="1422"/>
      <c r="V66" s="1422"/>
      <c r="W66" s="1422"/>
      <c r="X66" s="1422"/>
      <c r="Y66" s="1422"/>
      <c r="Z66" s="1422"/>
      <c r="AA66" s="1422"/>
      <c r="AB66" s="1422"/>
      <c r="AC66" s="1422"/>
      <c r="AD66" s="1422"/>
      <c r="AE66" s="1422"/>
      <c r="AF66" s="1422"/>
      <c r="AG66" s="1422"/>
      <c r="AH66" s="1422"/>
      <c r="AI66" s="1422"/>
      <c r="AJ66" s="1422"/>
      <c r="AK66" s="1422"/>
    </row>
    <row r="67" spans="1:37" ht="13.15" customHeight="1">
      <c r="A67" s="4"/>
      <c r="C67" s="2"/>
      <c r="D67" s="4"/>
      <c r="E67" s="4"/>
      <c r="F67" t="s">
        <v>508</v>
      </c>
      <c r="G67" s="1422" t="s">
        <v>1166</v>
      </c>
      <c r="H67" s="1422"/>
      <c r="I67" s="1422"/>
      <c r="J67" s="1422"/>
      <c r="K67" s="1422"/>
      <c r="L67" s="1422"/>
      <c r="M67" s="1422"/>
      <c r="N67" s="1422"/>
      <c r="O67" s="1422"/>
      <c r="P67" s="1422"/>
      <c r="Q67" s="1422"/>
      <c r="R67" s="1422"/>
      <c r="S67" s="1422"/>
      <c r="T67" s="1422"/>
      <c r="U67" s="1422"/>
      <c r="V67" s="1422"/>
      <c r="W67" s="1422"/>
      <c r="X67" s="1422"/>
      <c r="Y67" s="1422"/>
      <c r="Z67" s="1422"/>
      <c r="AA67" s="1422"/>
      <c r="AB67" s="1422"/>
      <c r="AC67" s="1422"/>
      <c r="AD67" s="1422"/>
      <c r="AE67" s="1422"/>
      <c r="AF67" s="1422"/>
      <c r="AG67" s="1422"/>
      <c r="AH67" s="1422"/>
      <c r="AI67" s="1422"/>
      <c r="AJ67" s="1422"/>
      <c r="AK67" s="1422"/>
    </row>
    <row r="68" spans="1:37">
      <c r="A68" s="4"/>
      <c r="C68" s="2"/>
      <c r="D68" s="4"/>
      <c r="E68" s="4"/>
      <c r="F68" s="27"/>
      <c r="G68" s="1422"/>
      <c r="H68" s="1422"/>
      <c r="I68" s="1422"/>
      <c r="J68" s="1422"/>
      <c r="K68" s="1422"/>
      <c r="L68" s="1422"/>
      <c r="M68" s="1422"/>
      <c r="N68" s="1422"/>
      <c r="O68" s="1422"/>
      <c r="P68" s="1422"/>
      <c r="Q68" s="1422"/>
      <c r="R68" s="1422"/>
      <c r="S68" s="1422"/>
      <c r="T68" s="1422"/>
      <c r="U68" s="1422"/>
      <c r="V68" s="1422"/>
      <c r="W68" s="1422"/>
      <c r="X68" s="1422"/>
      <c r="Y68" s="1422"/>
      <c r="Z68" s="1422"/>
      <c r="AA68" s="1422"/>
      <c r="AB68" s="1422"/>
      <c r="AC68" s="1422"/>
      <c r="AD68" s="1422"/>
      <c r="AE68" s="1422"/>
      <c r="AF68" s="1422"/>
      <c r="AG68" s="1422"/>
      <c r="AH68" s="1422"/>
      <c r="AI68" s="1422"/>
      <c r="AJ68" s="1422"/>
      <c r="AK68" s="142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422" t="s">
        <v>1167</v>
      </c>
      <c r="H70" s="1422"/>
      <c r="I70" s="1422"/>
      <c r="J70" s="1422"/>
      <c r="K70" s="1422"/>
      <c r="L70" s="1422"/>
      <c r="M70" s="1422"/>
      <c r="N70" s="1422"/>
      <c r="O70" s="1422"/>
      <c r="P70" s="1422"/>
      <c r="Q70" s="1422"/>
      <c r="R70" s="1422"/>
      <c r="S70" s="1422"/>
      <c r="T70" s="1422"/>
      <c r="U70" s="1422"/>
      <c r="V70" s="1422"/>
      <c r="W70" s="1422"/>
      <c r="X70" s="1422"/>
      <c r="Y70" s="1422"/>
      <c r="Z70" s="1422"/>
      <c r="AA70" s="1422"/>
      <c r="AB70" s="1422"/>
      <c r="AC70" s="1422"/>
      <c r="AD70" s="1422"/>
      <c r="AE70" s="1422"/>
      <c r="AF70" s="1422"/>
      <c r="AG70" s="1422"/>
      <c r="AH70" s="1422"/>
      <c r="AI70" s="1422"/>
      <c r="AJ70" s="1422"/>
      <c r="AK70" s="1422"/>
    </row>
    <row r="71" spans="1:37">
      <c r="A71" s="4"/>
      <c r="C71" s="2"/>
      <c r="D71" s="4"/>
      <c r="E71" s="4"/>
      <c r="F71" s="8"/>
      <c r="G71" s="1422"/>
      <c r="H71" s="1422"/>
      <c r="I71" s="1422"/>
      <c r="J71" s="1422"/>
      <c r="K71" s="1422"/>
      <c r="L71" s="1422"/>
      <c r="M71" s="1422"/>
      <c r="N71" s="1422"/>
      <c r="O71" s="1422"/>
      <c r="P71" s="1422"/>
      <c r="Q71" s="1422"/>
      <c r="R71" s="1422"/>
      <c r="S71" s="1422"/>
      <c r="T71" s="1422"/>
      <c r="U71" s="1422"/>
      <c r="V71" s="1422"/>
      <c r="W71" s="1422"/>
      <c r="X71" s="1422"/>
      <c r="Y71" s="1422"/>
      <c r="Z71" s="1422"/>
      <c r="AA71" s="1422"/>
      <c r="AB71" s="1422"/>
      <c r="AC71" s="1422"/>
      <c r="AD71" s="1422"/>
      <c r="AE71" s="1422"/>
      <c r="AF71" s="1422"/>
      <c r="AG71" s="1422"/>
      <c r="AH71" s="1422"/>
      <c r="AI71" s="1422"/>
      <c r="AJ71" s="1422"/>
      <c r="AK71" s="1422"/>
    </row>
    <row r="72" spans="1:37">
      <c r="A72" s="4"/>
      <c r="C72" s="2"/>
      <c r="D72" s="4"/>
      <c r="E72" s="4"/>
      <c r="F72" s="8" t="s">
        <v>508</v>
      </c>
      <c r="G72" s="1422" t="s">
        <v>1168</v>
      </c>
      <c r="H72" s="1422"/>
      <c r="I72" s="1422"/>
      <c r="J72" s="1422"/>
      <c r="K72" s="1422"/>
      <c r="L72" s="1422"/>
      <c r="M72" s="1422"/>
      <c r="N72" s="1422"/>
      <c r="O72" s="1422"/>
      <c r="P72" s="1422"/>
      <c r="Q72" s="1422"/>
      <c r="R72" s="1422"/>
      <c r="S72" s="1422"/>
      <c r="T72" s="1422"/>
      <c r="U72" s="1422"/>
      <c r="V72" s="1422"/>
      <c r="W72" s="1422"/>
      <c r="X72" s="1422"/>
      <c r="Y72" s="1422"/>
      <c r="Z72" s="1422"/>
      <c r="AA72" s="1422"/>
      <c r="AB72" s="1422"/>
      <c r="AC72" s="1422"/>
      <c r="AD72" s="1422"/>
      <c r="AE72" s="1422"/>
      <c r="AF72" s="1422"/>
      <c r="AG72" s="1422"/>
      <c r="AH72" s="1422"/>
      <c r="AI72" s="1422"/>
      <c r="AJ72" s="1422"/>
      <c r="AK72" s="1422"/>
    </row>
    <row r="73" spans="1:37">
      <c r="A73" s="4"/>
      <c r="C73" s="2"/>
      <c r="D73" s="4"/>
      <c r="E73" s="4"/>
      <c r="F73" s="8"/>
      <c r="G73" s="1422"/>
      <c r="H73" s="1422"/>
      <c r="I73" s="1422"/>
      <c r="J73" s="1422"/>
      <c r="K73" s="1422"/>
      <c r="L73" s="1422"/>
      <c r="M73" s="1422"/>
      <c r="N73" s="1422"/>
      <c r="O73" s="1422"/>
      <c r="P73" s="1422"/>
      <c r="Q73" s="1422"/>
      <c r="R73" s="1422"/>
      <c r="S73" s="1422"/>
      <c r="T73" s="1422"/>
      <c r="U73" s="1422"/>
      <c r="V73" s="1422"/>
      <c r="W73" s="1422"/>
      <c r="X73" s="1422"/>
      <c r="Y73" s="1422"/>
      <c r="Z73" s="1422"/>
      <c r="AA73" s="1422"/>
      <c r="AB73" s="1422"/>
      <c r="AC73" s="1422"/>
      <c r="AD73" s="1422"/>
      <c r="AE73" s="1422"/>
      <c r="AF73" s="1422"/>
      <c r="AG73" s="1422"/>
      <c r="AH73" s="1422"/>
      <c r="AI73" s="1422"/>
      <c r="AJ73" s="1422"/>
      <c r="AK73" s="1422"/>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22" t="s">
        <v>1169</v>
      </c>
      <c r="H80" s="1422"/>
      <c r="I80" s="1422"/>
      <c r="J80" s="1422"/>
      <c r="K80" s="1422"/>
      <c r="L80" s="1422"/>
      <c r="M80" s="1422"/>
      <c r="N80" s="1422"/>
      <c r="O80" s="1422"/>
      <c r="P80" s="1422"/>
      <c r="Q80" s="1422"/>
      <c r="R80" s="1422"/>
      <c r="S80" s="1422"/>
      <c r="T80" s="1422"/>
      <c r="U80" s="1422"/>
      <c r="V80" s="1422"/>
      <c r="W80" s="1422"/>
      <c r="X80" s="1422"/>
      <c r="Y80" s="1422"/>
      <c r="Z80" s="1422"/>
      <c r="AA80" s="1422"/>
      <c r="AB80" s="1422"/>
      <c r="AC80" s="1422"/>
      <c r="AD80" s="1422"/>
      <c r="AE80" s="1422"/>
      <c r="AF80" s="1422"/>
      <c r="AG80" s="1422"/>
      <c r="AH80" s="1422"/>
      <c r="AI80" s="1422"/>
      <c r="AJ80" s="1422"/>
      <c r="AK80" s="1422"/>
    </row>
    <row r="81" spans="1:37">
      <c r="A81" s="4"/>
      <c r="C81" s="2"/>
      <c r="D81" s="4"/>
      <c r="E81" s="4"/>
      <c r="F81" s="4"/>
      <c r="G81" s="1422"/>
      <c r="H81" s="1422"/>
      <c r="I81" s="1422"/>
      <c r="J81" s="1422"/>
      <c r="K81" s="1422"/>
      <c r="L81" s="1422"/>
      <c r="M81" s="1422"/>
      <c r="N81" s="1422"/>
      <c r="O81" s="1422"/>
      <c r="P81" s="1422"/>
      <c r="Q81" s="1422"/>
      <c r="R81" s="1422"/>
      <c r="S81" s="1422"/>
      <c r="T81" s="1422"/>
      <c r="U81" s="1422"/>
      <c r="V81" s="1422"/>
      <c r="W81" s="1422"/>
      <c r="X81" s="1422"/>
      <c r="Y81" s="1422"/>
      <c r="Z81" s="1422"/>
      <c r="AA81" s="1422"/>
      <c r="AB81" s="1422"/>
      <c r="AC81" s="1422"/>
      <c r="AD81" s="1422"/>
      <c r="AE81" s="1422"/>
      <c r="AF81" s="1422"/>
      <c r="AG81" s="1422"/>
      <c r="AH81" s="1422"/>
      <c r="AI81" s="1422"/>
      <c r="AJ81" s="1422"/>
      <c r="AK81" s="1422"/>
    </row>
    <row r="82" spans="1:37">
      <c r="A82" s="4"/>
      <c r="C82" s="2"/>
      <c r="D82" s="4"/>
      <c r="E82" s="4"/>
      <c r="F82" s="4"/>
      <c r="G82" s="1422"/>
      <c r="H82" s="1422"/>
      <c r="I82" s="1422"/>
      <c r="J82" s="1422"/>
      <c r="K82" s="1422"/>
      <c r="L82" s="1422"/>
      <c r="M82" s="1422"/>
      <c r="N82" s="1422"/>
      <c r="O82" s="1422"/>
      <c r="P82" s="1422"/>
      <c r="Q82" s="1422"/>
      <c r="R82" s="1422"/>
      <c r="S82" s="1422"/>
      <c r="T82" s="1422"/>
      <c r="U82" s="1422"/>
      <c r="V82" s="1422"/>
      <c r="W82" s="1422"/>
      <c r="X82" s="1422"/>
      <c r="Y82" s="1422"/>
      <c r="Z82" s="1422"/>
      <c r="AA82" s="1422"/>
      <c r="AB82" s="1422"/>
      <c r="AC82" s="1422"/>
      <c r="AD82" s="1422"/>
      <c r="AE82" s="1422"/>
      <c r="AF82" s="1422"/>
      <c r="AG82" s="1422"/>
      <c r="AH82" s="1422"/>
      <c r="AI82" s="1422"/>
      <c r="AJ82" s="1422"/>
      <c r="AK82" s="1422"/>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22" t="s">
        <v>1170</v>
      </c>
      <c r="H84" s="1422"/>
      <c r="I84" s="1422"/>
      <c r="J84" s="1422"/>
      <c r="K84" s="1422"/>
      <c r="L84" s="1422"/>
      <c r="M84" s="1422"/>
      <c r="N84" s="1422"/>
      <c r="O84" s="1422"/>
      <c r="P84" s="1422"/>
      <c r="Q84" s="1422"/>
      <c r="R84" s="1422"/>
      <c r="S84" s="1422"/>
      <c r="T84" s="1422"/>
      <c r="U84" s="1422"/>
      <c r="V84" s="1422"/>
      <c r="W84" s="1422"/>
      <c r="X84" s="1422"/>
      <c r="Y84" s="1422"/>
      <c r="Z84" s="1422"/>
      <c r="AA84" s="1422"/>
      <c r="AB84" s="1422"/>
      <c r="AC84" s="1422"/>
      <c r="AD84" s="1422"/>
      <c r="AE84" s="1422"/>
      <c r="AF84" s="1422"/>
      <c r="AG84" s="1422"/>
      <c r="AH84" s="1422"/>
      <c r="AI84" s="1422"/>
      <c r="AJ84" s="1422"/>
      <c r="AK84" s="1422"/>
    </row>
    <row r="85" spans="1:37">
      <c r="A85" s="4"/>
      <c r="C85" s="2"/>
      <c r="D85" s="4"/>
      <c r="E85" s="4"/>
      <c r="F85" s="4"/>
      <c r="G85" s="1422"/>
      <c r="H85" s="1422"/>
      <c r="I85" s="1422"/>
      <c r="J85" s="1422"/>
      <c r="K85" s="1422"/>
      <c r="L85" s="1422"/>
      <c r="M85" s="1422"/>
      <c r="N85" s="1422"/>
      <c r="O85" s="1422"/>
      <c r="P85" s="1422"/>
      <c r="Q85" s="1422"/>
      <c r="R85" s="1422"/>
      <c r="S85" s="1422"/>
      <c r="T85" s="1422"/>
      <c r="U85" s="1422"/>
      <c r="V85" s="1422"/>
      <c r="W85" s="1422"/>
      <c r="X85" s="1422"/>
      <c r="Y85" s="1422"/>
      <c r="Z85" s="1422"/>
      <c r="AA85" s="1422"/>
      <c r="AB85" s="1422"/>
      <c r="AC85" s="1422"/>
      <c r="AD85" s="1422"/>
      <c r="AE85" s="1422"/>
      <c r="AF85" s="1422"/>
      <c r="AG85" s="1422"/>
      <c r="AH85" s="1422"/>
      <c r="AI85" s="1422"/>
      <c r="AJ85" s="1422"/>
      <c r="AK85" s="1422"/>
    </row>
    <row r="86" spans="1:37">
      <c r="A86" s="4"/>
      <c r="C86" s="2"/>
      <c r="D86" s="4"/>
      <c r="E86" s="4"/>
      <c r="G86" s="1422"/>
      <c r="H86" s="1422"/>
      <c r="I86" s="1422"/>
      <c r="J86" s="1422"/>
      <c r="K86" s="1422"/>
      <c r="L86" s="1422"/>
      <c r="M86" s="1422"/>
      <c r="N86" s="1422"/>
      <c r="O86" s="1422"/>
      <c r="P86" s="1422"/>
      <c r="Q86" s="1422"/>
      <c r="R86" s="1422"/>
      <c r="S86" s="1422"/>
      <c r="T86" s="1422"/>
      <c r="U86" s="1422"/>
      <c r="V86" s="1422"/>
      <c r="W86" s="1422"/>
      <c r="X86" s="1422"/>
      <c r="Y86" s="1422"/>
      <c r="Z86" s="1422"/>
      <c r="AA86" s="1422"/>
      <c r="AB86" s="1422"/>
      <c r="AC86" s="1422"/>
      <c r="AD86" s="1422"/>
      <c r="AE86" s="1422"/>
      <c r="AF86" s="1422"/>
      <c r="AG86" s="1422"/>
      <c r="AH86" s="1422"/>
      <c r="AI86" s="1422"/>
      <c r="AJ86" s="1422"/>
      <c r="AK86" s="1422"/>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813" t="s">
        <v>1171</v>
      </c>
      <c r="H88" s="1813"/>
      <c r="I88" s="1813"/>
      <c r="J88" s="1813"/>
      <c r="K88" s="1813"/>
      <c r="L88" s="1813"/>
      <c r="M88" s="1813"/>
      <c r="N88" s="1813"/>
      <c r="O88" s="1813"/>
      <c r="P88" s="1813"/>
      <c r="Q88" s="1813"/>
      <c r="R88" s="1813"/>
      <c r="S88" s="1813"/>
      <c r="T88" s="1813"/>
      <c r="U88" s="1813"/>
      <c r="V88" s="1813"/>
      <c r="W88" s="1813"/>
      <c r="X88" s="1813"/>
      <c r="Y88" s="1813"/>
      <c r="Z88" s="1813"/>
      <c r="AA88" s="1813"/>
      <c r="AB88" s="1813"/>
      <c r="AC88" s="1813"/>
      <c r="AD88" s="1813"/>
      <c r="AE88" s="1813"/>
      <c r="AF88" s="1813"/>
      <c r="AG88" s="1813"/>
      <c r="AH88" s="1813"/>
      <c r="AI88" s="1813"/>
      <c r="AJ88" s="1813"/>
      <c r="AK88" s="1813"/>
    </row>
    <row r="89" spans="1:37">
      <c r="A89" s="4"/>
      <c r="C89" s="2"/>
      <c r="D89" s="4"/>
      <c r="E89" s="4"/>
      <c r="G89" s="1813"/>
      <c r="H89" s="1813"/>
      <c r="I89" s="1813"/>
      <c r="J89" s="1813"/>
      <c r="K89" s="1813"/>
      <c r="L89" s="1813"/>
      <c r="M89" s="1813"/>
      <c r="N89" s="1813"/>
      <c r="O89" s="1813"/>
      <c r="P89" s="1813"/>
      <c r="Q89" s="1813"/>
      <c r="R89" s="1813"/>
      <c r="S89" s="1813"/>
      <c r="T89" s="1813"/>
      <c r="U89" s="1813"/>
      <c r="V89" s="1813"/>
      <c r="W89" s="1813"/>
      <c r="X89" s="1813"/>
      <c r="Y89" s="1813"/>
      <c r="Z89" s="1813"/>
      <c r="AA89" s="1813"/>
      <c r="AB89" s="1813"/>
      <c r="AC89" s="1813"/>
      <c r="AD89" s="1813"/>
      <c r="AE89" s="1813"/>
      <c r="AF89" s="1813"/>
      <c r="AG89" s="1813"/>
      <c r="AH89" s="1813"/>
      <c r="AI89" s="1813"/>
      <c r="AJ89" s="1813"/>
      <c r="AK89" s="1813"/>
    </row>
    <row r="90" spans="1:37">
      <c r="A90" s="4"/>
      <c r="C90" s="2"/>
      <c r="D90" s="4"/>
      <c r="E90" s="4"/>
      <c r="G90" s="1813"/>
      <c r="H90" s="1813"/>
      <c r="I90" s="1813"/>
      <c r="J90" s="1813"/>
      <c r="K90" s="1813"/>
      <c r="L90" s="1813"/>
      <c r="M90" s="1813"/>
      <c r="N90" s="1813"/>
      <c r="O90" s="1813"/>
      <c r="P90" s="1813"/>
      <c r="Q90" s="1813"/>
      <c r="R90" s="1813"/>
      <c r="S90" s="1813"/>
      <c r="T90" s="1813"/>
      <c r="U90" s="1813"/>
      <c r="V90" s="1813"/>
      <c r="W90" s="1813"/>
      <c r="X90" s="1813"/>
      <c r="Y90" s="1813"/>
      <c r="Z90" s="1813"/>
      <c r="AA90" s="1813"/>
      <c r="AB90" s="1813"/>
      <c r="AC90" s="1813"/>
      <c r="AD90" s="1813"/>
      <c r="AE90" s="1813"/>
      <c r="AF90" s="1813"/>
      <c r="AG90" s="1813"/>
      <c r="AH90" s="1813"/>
      <c r="AI90" s="1813"/>
      <c r="AJ90" s="1813"/>
      <c r="AK90" s="1813"/>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22" t="s">
        <v>1172</v>
      </c>
      <c r="H92" s="1422"/>
      <c r="I92" s="1422"/>
      <c r="J92" s="1422"/>
      <c r="K92" s="1422"/>
      <c r="L92" s="1422"/>
      <c r="M92" s="1422"/>
      <c r="N92" s="1422"/>
      <c r="O92" s="1422"/>
      <c r="P92" s="1422"/>
      <c r="Q92" s="1422"/>
      <c r="R92" s="1422"/>
      <c r="S92" s="1422"/>
      <c r="T92" s="1422"/>
      <c r="U92" s="1422"/>
      <c r="V92" s="1422"/>
      <c r="W92" s="1422"/>
      <c r="X92" s="1422"/>
      <c r="Y92" s="1422"/>
      <c r="Z92" s="1422"/>
      <c r="AA92" s="1422"/>
      <c r="AB92" s="1422"/>
      <c r="AC92" s="1422"/>
      <c r="AD92" s="1422"/>
      <c r="AE92" s="1422"/>
      <c r="AF92" s="1422"/>
      <c r="AG92" s="1422"/>
      <c r="AH92" s="1422"/>
      <c r="AI92" s="1422"/>
      <c r="AJ92" s="1422"/>
      <c r="AK92" s="1422"/>
    </row>
    <row r="93" spans="1:37">
      <c r="A93" s="4"/>
      <c r="C93" s="2"/>
      <c r="D93" s="4"/>
      <c r="E93" s="4"/>
      <c r="G93" s="1422"/>
      <c r="H93" s="1422"/>
      <c r="I93" s="1422"/>
      <c r="J93" s="1422"/>
      <c r="K93" s="1422"/>
      <c r="L93" s="1422"/>
      <c r="M93" s="1422"/>
      <c r="N93" s="1422"/>
      <c r="O93" s="1422"/>
      <c r="P93" s="1422"/>
      <c r="Q93" s="1422"/>
      <c r="R93" s="1422"/>
      <c r="S93" s="1422"/>
      <c r="T93" s="1422"/>
      <c r="U93" s="1422"/>
      <c r="V93" s="1422"/>
      <c r="W93" s="1422"/>
      <c r="X93" s="1422"/>
      <c r="Y93" s="1422"/>
      <c r="Z93" s="1422"/>
      <c r="AA93" s="1422"/>
      <c r="AB93" s="1422"/>
      <c r="AC93" s="1422"/>
      <c r="AD93" s="1422"/>
      <c r="AE93" s="1422"/>
      <c r="AF93" s="1422"/>
      <c r="AG93" s="1422"/>
      <c r="AH93" s="1422"/>
      <c r="AI93" s="1422"/>
      <c r="AJ93" s="1422"/>
      <c r="AK93" s="1422"/>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422" t="s">
        <v>1173</v>
      </c>
      <c r="H95" s="1422"/>
      <c r="I95" s="1422"/>
      <c r="J95" s="1422"/>
      <c r="K95" s="1422"/>
      <c r="L95" s="1422"/>
      <c r="M95" s="1422"/>
      <c r="N95" s="1422"/>
      <c r="O95" s="1422"/>
      <c r="P95" s="1422"/>
      <c r="Q95" s="1422"/>
      <c r="R95" s="1422"/>
      <c r="S95" s="1422"/>
      <c r="T95" s="1422"/>
      <c r="U95" s="1422"/>
      <c r="V95" s="1422"/>
      <c r="W95" s="1422"/>
      <c r="X95" s="1422"/>
      <c r="Y95" s="1422"/>
      <c r="Z95" s="1422"/>
      <c r="AA95" s="1422"/>
      <c r="AB95" s="1422"/>
      <c r="AC95" s="1422"/>
      <c r="AD95" s="1422"/>
      <c r="AE95" s="1422"/>
      <c r="AF95" s="1422"/>
      <c r="AG95" s="1422"/>
      <c r="AH95" s="1422"/>
      <c r="AI95" s="1422"/>
      <c r="AJ95" s="1422"/>
      <c r="AK95" s="1422"/>
    </row>
    <row r="96" spans="1:37">
      <c r="A96" s="4"/>
      <c r="C96" s="2"/>
      <c r="D96" s="4"/>
      <c r="E96" s="4"/>
      <c r="G96" s="1422"/>
      <c r="H96" s="1422"/>
      <c r="I96" s="1422"/>
      <c r="J96" s="1422"/>
      <c r="K96" s="1422"/>
      <c r="L96" s="1422"/>
      <c r="M96" s="1422"/>
      <c r="N96" s="1422"/>
      <c r="O96" s="1422"/>
      <c r="P96" s="1422"/>
      <c r="Q96" s="1422"/>
      <c r="R96" s="1422"/>
      <c r="S96" s="1422"/>
      <c r="T96" s="1422"/>
      <c r="U96" s="1422"/>
      <c r="V96" s="1422"/>
      <c r="W96" s="1422"/>
      <c r="X96" s="1422"/>
      <c r="Y96" s="1422"/>
      <c r="Z96" s="1422"/>
      <c r="AA96" s="1422"/>
      <c r="AB96" s="1422"/>
      <c r="AC96" s="1422"/>
      <c r="AD96" s="1422"/>
      <c r="AE96" s="1422"/>
      <c r="AF96" s="1422"/>
      <c r="AG96" s="1422"/>
      <c r="AH96" s="1422"/>
      <c r="AI96" s="1422"/>
      <c r="AJ96" s="1422"/>
      <c r="AK96" s="1422"/>
    </row>
    <row r="97" spans="1:38">
      <c r="A97" s="4"/>
      <c r="C97" s="2"/>
      <c r="D97" s="4"/>
      <c r="E97" s="4"/>
      <c r="G97" s="1422"/>
      <c r="H97" s="1422"/>
      <c r="I97" s="1422"/>
      <c r="J97" s="1422"/>
      <c r="K97" s="1422"/>
      <c r="L97" s="1422"/>
      <c r="M97" s="1422"/>
      <c r="N97" s="1422"/>
      <c r="O97" s="1422"/>
      <c r="P97" s="1422"/>
      <c r="Q97" s="1422"/>
      <c r="R97" s="1422"/>
      <c r="S97" s="1422"/>
      <c r="T97" s="1422"/>
      <c r="U97" s="1422"/>
      <c r="V97" s="1422"/>
      <c r="W97" s="1422"/>
      <c r="X97" s="1422"/>
      <c r="Y97" s="1422"/>
      <c r="Z97" s="1422"/>
      <c r="AA97" s="1422"/>
      <c r="AB97" s="1422"/>
      <c r="AC97" s="1422"/>
      <c r="AD97" s="1422"/>
      <c r="AE97" s="1422"/>
      <c r="AF97" s="1422"/>
      <c r="AG97" s="1422"/>
      <c r="AH97" s="1422"/>
      <c r="AI97" s="1422"/>
      <c r="AJ97" s="1422"/>
      <c r="AK97" s="1422"/>
    </row>
    <row r="98" spans="1:38">
      <c r="A98" s="4"/>
      <c r="D98" s="99"/>
      <c r="E98" s="1814" t="s">
        <v>1174</v>
      </c>
      <c r="F98" s="1814"/>
      <c r="G98" s="1814"/>
      <c r="H98" s="1814"/>
      <c r="I98" s="1814"/>
      <c r="J98" s="1814"/>
      <c r="K98" s="1814"/>
      <c r="L98" s="1814"/>
      <c r="M98" s="1814"/>
      <c r="N98" s="1814"/>
      <c r="O98" s="1814"/>
      <c r="P98" s="1814"/>
      <c r="Q98" s="1814"/>
      <c r="R98" s="1814"/>
      <c r="S98" s="1814"/>
      <c r="T98" s="1814"/>
      <c r="U98" s="1814"/>
      <c r="V98" s="1814"/>
      <c r="W98" s="1814"/>
      <c r="X98" s="1814"/>
      <c r="Y98" s="1814"/>
      <c r="Z98" s="1814"/>
      <c r="AA98" s="1814"/>
      <c r="AB98" s="1814"/>
      <c r="AC98" s="1814"/>
      <c r="AD98" s="1814"/>
      <c r="AE98" s="1814"/>
      <c r="AF98" s="1814"/>
      <c r="AG98" s="1814"/>
      <c r="AH98" s="1814"/>
      <c r="AI98" s="1814"/>
      <c r="AJ98" s="1814"/>
      <c r="AK98" s="1814"/>
    </row>
    <row r="99" spans="1:38">
      <c r="A99" s="4"/>
      <c r="D99" s="99"/>
      <c r="E99" s="1814"/>
      <c r="F99" s="1814"/>
      <c r="G99" s="1814"/>
      <c r="H99" s="1814"/>
      <c r="I99" s="1814"/>
      <c r="J99" s="1814"/>
      <c r="K99" s="1814"/>
      <c r="L99" s="1814"/>
      <c r="M99" s="1814"/>
      <c r="N99" s="1814"/>
      <c r="O99" s="1814"/>
      <c r="P99" s="1814"/>
      <c r="Q99" s="1814"/>
      <c r="R99" s="1814"/>
      <c r="S99" s="1814"/>
      <c r="T99" s="1814"/>
      <c r="U99" s="1814"/>
      <c r="V99" s="1814"/>
      <c r="W99" s="1814"/>
      <c r="X99" s="1814"/>
      <c r="Y99" s="1814"/>
      <c r="Z99" s="1814"/>
      <c r="AA99" s="1814"/>
      <c r="AB99" s="1814"/>
      <c r="AC99" s="1814"/>
      <c r="AD99" s="1814"/>
      <c r="AE99" s="1814"/>
      <c r="AF99" s="1814"/>
      <c r="AG99" s="1814"/>
      <c r="AH99" s="1814"/>
      <c r="AI99" s="1814"/>
      <c r="AJ99" s="1814"/>
      <c r="AK99" s="181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303</v>
      </c>
      <c r="E138" s="2" t="s">
        <v>1999</v>
      </c>
      <c r="F138" s="2"/>
      <c r="G138" s="2"/>
      <c r="H138" s="2"/>
    </row>
    <row r="139" spans="4:37">
      <c r="E139" t="s">
        <v>112</v>
      </c>
      <c r="F139" t="s">
        <v>52</v>
      </c>
    </row>
    <row r="140" spans="4:37">
      <c r="E140" t="s">
        <v>113</v>
      </c>
      <c r="F140" t="s">
        <v>465</v>
      </c>
    </row>
    <row r="141" spans="4:37"/>
    <row r="142" spans="4:37">
      <c r="D142" s="2" t="s">
        <v>429</v>
      </c>
      <c r="E142" s="2" t="s">
        <v>2000</v>
      </c>
    </row>
    <row r="143" spans="4:37">
      <c r="E143" s="204" t="s">
        <v>2001</v>
      </c>
      <c r="F143" s="204"/>
    </row>
    <row r="144" spans="4:37"/>
    <row r="145" spans="3:7">
      <c r="C145" s="2" t="s">
        <v>6</v>
      </c>
      <c r="G145" s="2" t="s">
        <v>380</v>
      </c>
    </row>
    <row r="146" spans="3:7">
      <c r="D146" s="2" t="s">
        <v>207</v>
      </c>
      <c r="E146" s="2" t="s">
        <v>135</v>
      </c>
    </row>
    <row r="147" spans="3:7">
      <c r="E147" t="s">
        <v>796</v>
      </c>
    </row>
    <row r="148" spans="3:7"/>
    <row r="149" spans="3:7">
      <c r="D149" s="2" t="s">
        <v>341</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303</v>
      </c>
      <c r="E161" s="2" t="s">
        <v>381</v>
      </c>
    </row>
    <row r="162" spans="3:20">
      <c r="E162" s="4" t="s">
        <v>928</v>
      </c>
      <c r="F162" s="4"/>
    </row>
    <row r="163" spans="3:20"/>
    <row r="164" spans="3:20">
      <c r="D164" s="2" t="s">
        <v>429</v>
      </c>
      <c r="E164" s="2" t="s">
        <v>172</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382</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422" t="s">
        <v>1175</v>
      </c>
      <c r="H205" s="1422"/>
      <c r="I205" s="1422"/>
      <c r="J205" s="1422"/>
      <c r="K205" s="1422"/>
      <c r="L205" s="1422"/>
      <c r="M205" s="1422"/>
      <c r="N205" s="1422"/>
      <c r="O205" s="1422"/>
      <c r="P205" s="1422"/>
      <c r="Q205" s="1422"/>
      <c r="R205" s="1422"/>
      <c r="S205" s="1422"/>
      <c r="T205" s="1422"/>
      <c r="U205" s="1422"/>
      <c r="V205" s="1422"/>
      <c r="W205" s="1422"/>
      <c r="X205" s="1422"/>
      <c r="Y205" s="1422"/>
      <c r="Z205" s="1422"/>
      <c r="AA205" s="1422"/>
      <c r="AB205" s="1422"/>
      <c r="AC205" s="1422"/>
      <c r="AD205" s="1422"/>
      <c r="AE205" s="1422"/>
      <c r="AF205" s="1422"/>
      <c r="AG205" s="1422"/>
      <c r="AH205" s="1422"/>
      <c r="AI205" s="1422"/>
      <c r="AJ205" s="1422"/>
      <c r="AK205" s="1422"/>
    </row>
    <row r="206" spans="2:37">
      <c r="B206" s="4"/>
      <c r="C206" s="4"/>
      <c r="D206" s="2"/>
      <c r="G206" s="1422"/>
      <c r="H206" s="1422"/>
      <c r="I206" s="1422"/>
      <c r="J206" s="1422"/>
      <c r="K206" s="1422"/>
      <c r="L206" s="1422"/>
      <c r="M206" s="1422"/>
      <c r="N206" s="1422"/>
      <c r="O206" s="1422"/>
      <c r="P206" s="1422"/>
      <c r="Q206" s="1422"/>
      <c r="R206" s="1422"/>
      <c r="S206" s="1422"/>
      <c r="T206" s="1422"/>
      <c r="U206" s="1422"/>
      <c r="V206" s="1422"/>
      <c r="W206" s="1422"/>
      <c r="X206" s="1422"/>
      <c r="Y206" s="1422"/>
      <c r="Z206" s="1422"/>
      <c r="AA206" s="1422"/>
      <c r="AB206" s="1422"/>
      <c r="AC206" s="1422"/>
      <c r="AD206" s="1422"/>
      <c r="AE206" s="1422"/>
      <c r="AF206" s="1422"/>
      <c r="AG206" s="1422"/>
      <c r="AH206" s="1422"/>
      <c r="AI206" s="1422"/>
      <c r="AJ206" s="1422"/>
      <c r="AK206" s="1422"/>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422" t="s">
        <v>1154</v>
      </c>
      <c r="G336" s="1422"/>
      <c r="H336" s="1422"/>
      <c r="I336" s="1422"/>
      <c r="J336" s="1422"/>
      <c r="K336" s="1422"/>
      <c r="L336" s="1422"/>
      <c r="M336" s="1422"/>
      <c r="N336" s="1422"/>
      <c r="O336" s="1422"/>
      <c r="P336" s="1422"/>
      <c r="Q336" s="1422"/>
      <c r="R336" s="1422"/>
      <c r="S336" s="1422"/>
      <c r="T336" s="1422"/>
      <c r="U336" s="1422"/>
      <c r="V336" s="1422"/>
      <c r="W336" s="1422"/>
      <c r="X336" s="1422"/>
      <c r="Y336" s="1422"/>
      <c r="Z336" s="1422"/>
      <c r="AA336" s="1422"/>
      <c r="AB336" s="1422"/>
      <c r="AC336" s="1422"/>
      <c r="AD336" s="1422"/>
      <c r="AE336" s="1422"/>
      <c r="AF336" s="1422"/>
      <c r="AG336" s="1422"/>
      <c r="AH336" s="1422"/>
      <c r="AI336" s="1422"/>
      <c r="AJ336" s="1422"/>
      <c r="AK336" s="1422"/>
    </row>
    <row r="337" spans="2:37">
      <c r="B337" s="2"/>
      <c r="E337" s="4"/>
      <c r="F337" s="1422"/>
      <c r="G337" s="1422"/>
      <c r="H337" s="1422"/>
      <c r="I337" s="1422"/>
      <c r="J337" s="1422"/>
      <c r="K337" s="1422"/>
      <c r="L337" s="1422"/>
      <c r="M337" s="1422"/>
      <c r="N337" s="1422"/>
      <c r="O337" s="1422"/>
      <c r="P337" s="1422"/>
      <c r="Q337" s="1422"/>
      <c r="R337" s="1422"/>
      <c r="S337" s="1422"/>
      <c r="T337" s="1422"/>
      <c r="U337" s="1422"/>
      <c r="V337" s="1422"/>
      <c r="W337" s="1422"/>
      <c r="X337" s="1422"/>
      <c r="Y337" s="1422"/>
      <c r="Z337" s="1422"/>
      <c r="AA337" s="1422"/>
      <c r="AB337" s="1422"/>
      <c r="AC337" s="1422"/>
      <c r="AD337" s="1422"/>
      <c r="AE337" s="1422"/>
      <c r="AF337" s="1422"/>
      <c r="AG337" s="1422"/>
      <c r="AH337" s="1422"/>
      <c r="AI337" s="1422"/>
      <c r="AJ337" s="1422"/>
      <c r="AK337" s="1422"/>
    </row>
    <row r="338" spans="2:37">
      <c r="B338" s="2"/>
      <c r="E338" s="4"/>
      <c r="F338" s="1422"/>
      <c r="G338" s="1422"/>
      <c r="H338" s="1422"/>
      <c r="I338" s="1422"/>
      <c r="J338" s="1422"/>
      <c r="K338" s="1422"/>
      <c r="L338" s="1422"/>
      <c r="M338" s="1422"/>
      <c r="N338" s="1422"/>
      <c r="O338" s="1422"/>
      <c r="P338" s="1422"/>
      <c r="Q338" s="1422"/>
      <c r="R338" s="1422"/>
      <c r="S338" s="1422"/>
      <c r="T338" s="1422"/>
      <c r="U338" s="1422"/>
      <c r="V338" s="1422"/>
      <c r="W338" s="1422"/>
      <c r="X338" s="1422"/>
      <c r="Y338" s="1422"/>
      <c r="Z338" s="1422"/>
      <c r="AA338" s="1422"/>
      <c r="AB338" s="1422"/>
      <c r="AC338" s="1422"/>
      <c r="AD338" s="1422"/>
      <c r="AE338" s="1422"/>
      <c r="AF338" s="1422"/>
      <c r="AG338" s="1422"/>
      <c r="AH338" s="1422"/>
      <c r="AI338" s="1422"/>
      <c r="AJ338" s="1422"/>
      <c r="AK338" s="1422"/>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15" customHeight="1">
      <c r="B341" s="2"/>
      <c r="E341" s="1807" t="s">
        <v>1234</v>
      </c>
      <c r="F341" s="1807"/>
      <c r="G341" s="1807"/>
      <c r="H341" s="1807"/>
      <c r="I341" s="1807"/>
      <c r="J341" s="1807"/>
      <c r="K341" s="1807"/>
      <c r="L341" s="1807"/>
      <c r="M341" s="1807"/>
      <c r="N341" s="1807"/>
      <c r="O341" s="1807"/>
      <c r="P341" s="1807"/>
      <c r="Q341" s="1807"/>
      <c r="R341" s="1807"/>
      <c r="S341" s="1807"/>
      <c r="T341" s="1807"/>
      <c r="U341" s="1807"/>
      <c r="V341" s="1807"/>
      <c r="W341" s="1807"/>
      <c r="X341" s="1807"/>
      <c r="Y341" s="1807"/>
      <c r="Z341" s="1807"/>
      <c r="AA341" s="1807"/>
      <c r="AB341" s="1807"/>
      <c r="AC341" s="1807"/>
      <c r="AD341" s="1807"/>
      <c r="AE341" s="1807"/>
      <c r="AF341" s="1807"/>
      <c r="AG341" s="1807"/>
      <c r="AH341" s="1807"/>
      <c r="AI341" s="1807"/>
      <c r="AJ341" s="1807"/>
      <c r="AK341" s="1807"/>
    </row>
    <row r="342" spans="2:37">
      <c r="B342" s="2"/>
      <c r="E342" s="1807"/>
      <c r="F342" s="1807"/>
      <c r="G342" s="1807"/>
      <c r="H342" s="1807"/>
      <c r="I342" s="1807"/>
      <c r="J342" s="1807"/>
      <c r="K342" s="1807"/>
      <c r="L342" s="1807"/>
      <c r="M342" s="1807"/>
      <c r="N342" s="1807"/>
      <c r="O342" s="1807"/>
      <c r="P342" s="1807"/>
      <c r="Q342" s="1807"/>
      <c r="R342" s="1807"/>
      <c r="S342" s="1807"/>
      <c r="T342" s="1807"/>
      <c r="U342" s="1807"/>
      <c r="V342" s="1807"/>
      <c r="W342" s="1807"/>
      <c r="X342" s="1807"/>
      <c r="Y342" s="1807"/>
      <c r="Z342" s="1807"/>
      <c r="AA342" s="1807"/>
      <c r="AB342" s="1807"/>
      <c r="AC342" s="1807"/>
      <c r="AD342" s="1807"/>
      <c r="AE342" s="1807"/>
      <c r="AF342" s="1807"/>
      <c r="AG342" s="1807"/>
      <c r="AH342" s="1807"/>
      <c r="AI342" s="1807"/>
      <c r="AJ342" s="1807"/>
      <c r="AK342" s="1807"/>
    </row>
    <row r="343" spans="2:37">
      <c r="B343" s="2"/>
      <c r="E343" s="1807"/>
      <c r="F343" s="1807"/>
      <c r="G343" s="1807"/>
      <c r="H343" s="1807"/>
      <c r="I343" s="1807"/>
      <c r="J343" s="1807"/>
      <c r="K343" s="1807"/>
      <c r="L343" s="1807"/>
      <c r="M343" s="1807"/>
      <c r="N343" s="1807"/>
      <c r="O343" s="1807"/>
      <c r="P343" s="1807"/>
      <c r="Q343" s="1807"/>
      <c r="R343" s="1807"/>
      <c r="S343" s="1807"/>
      <c r="T343" s="1807"/>
      <c r="U343" s="1807"/>
      <c r="V343" s="1807"/>
      <c r="W343" s="1807"/>
      <c r="X343" s="1807"/>
      <c r="Y343" s="1807"/>
      <c r="Z343" s="1807"/>
      <c r="AA343" s="1807"/>
      <c r="AB343" s="1807"/>
      <c r="AC343" s="1807"/>
      <c r="AD343" s="1807"/>
      <c r="AE343" s="1807"/>
      <c r="AF343" s="1807"/>
      <c r="AG343" s="1807"/>
      <c r="AH343" s="1807"/>
      <c r="AI343" s="1807"/>
      <c r="AJ343" s="1807"/>
      <c r="AK343" s="1807"/>
    </row>
    <row r="344" spans="2:37">
      <c r="B344" s="2"/>
      <c r="E344" s="1807"/>
      <c r="F344" s="1807"/>
      <c r="G344" s="1807"/>
      <c r="H344" s="1807"/>
      <c r="I344" s="1807"/>
      <c r="J344" s="1807"/>
      <c r="K344" s="1807"/>
      <c r="L344" s="1807"/>
      <c r="M344" s="1807"/>
      <c r="N344" s="1807"/>
      <c r="O344" s="1807"/>
      <c r="P344" s="1807"/>
      <c r="Q344" s="1807"/>
      <c r="R344" s="1807"/>
      <c r="S344" s="1807"/>
      <c r="T344" s="1807"/>
      <c r="U344" s="1807"/>
      <c r="V344" s="1807"/>
      <c r="W344" s="1807"/>
      <c r="X344" s="1807"/>
      <c r="Y344" s="1807"/>
      <c r="Z344" s="1807"/>
      <c r="AA344" s="1807"/>
      <c r="AB344" s="1807"/>
      <c r="AC344" s="1807"/>
      <c r="AD344" s="1807"/>
      <c r="AE344" s="1807"/>
      <c r="AF344" s="1807"/>
      <c r="AG344" s="1807"/>
      <c r="AH344" s="1807"/>
      <c r="AI344" s="1807"/>
      <c r="AJ344" s="1807"/>
      <c r="AK344" s="1807"/>
    </row>
    <row r="345" spans="2:37">
      <c r="B345" s="2"/>
      <c r="E345" s="1807"/>
      <c r="F345" s="1807"/>
      <c r="G345" s="1807"/>
      <c r="H345" s="1807"/>
      <c r="I345" s="1807"/>
      <c r="J345" s="1807"/>
      <c r="K345" s="1807"/>
      <c r="L345" s="1807"/>
      <c r="M345" s="1807"/>
      <c r="N345" s="1807"/>
      <c r="O345" s="1807"/>
      <c r="P345" s="1807"/>
      <c r="Q345" s="1807"/>
      <c r="R345" s="1807"/>
      <c r="S345" s="1807"/>
      <c r="T345" s="1807"/>
      <c r="U345" s="1807"/>
      <c r="V345" s="1807"/>
      <c r="W345" s="1807"/>
      <c r="X345" s="1807"/>
      <c r="Y345" s="1807"/>
      <c r="Z345" s="1807"/>
      <c r="AA345" s="1807"/>
      <c r="AB345" s="1807"/>
      <c r="AC345" s="1807"/>
      <c r="AD345" s="1807"/>
      <c r="AE345" s="1807"/>
      <c r="AF345" s="1807"/>
      <c r="AG345" s="1807"/>
      <c r="AH345" s="1807"/>
      <c r="AI345" s="1807"/>
      <c r="AJ345" s="1807"/>
      <c r="AK345" s="1807"/>
    </row>
    <row r="346" spans="2:37">
      <c r="B346" s="2"/>
      <c r="E346" s="3" t="s">
        <v>112</v>
      </c>
      <c r="F346" s="1422" t="s">
        <v>1236</v>
      </c>
      <c r="G346" s="1422"/>
      <c r="H346" s="1422"/>
      <c r="I346" s="1422"/>
      <c r="J346" s="1422"/>
      <c r="K346" s="1422"/>
      <c r="L346" s="1422"/>
      <c r="M346" s="1422"/>
      <c r="N346" s="1422"/>
      <c r="O346" s="1422"/>
      <c r="P346" s="1422"/>
      <c r="Q346" s="1422"/>
      <c r="R346" s="1422"/>
      <c r="S346" s="1422"/>
      <c r="T346" s="1422"/>
      <c r="U346" s="1422"/>
      <c r="V346" s="1422"/>
      <c r="W346" s="1422"/>
      <c r="X346" s="1422"/>
      <c r="Y346" s="1422"/>
      <c r="Z346" s="1422"/>
      <c r="AA346" s="1422"/>
      <c r="AB346" s="1422"/>
      <c r="AC346" s="1422"/>
      <c r="AD346" s="1422"/>
      <c r="AE346" s="1422"/>
      <c r="AF346" s="1422"/>
      <c r="AG346" s="1422"/>
      <c r="AH346" s="1422"/>
      <c r="AI346" s="1422"/>
      <c r="AJ346" s="1422"/>
      <c r="AK346" s="1422"/>
    </row>
    <row r="347" spans="2:37">
      <c r="B347" s="2"/>
      <c r="E347" s="3"/>
      <c r="F347" s="1422"/>
      <c r="G347" s="1422"/>
      <c r="H347" s="1422"/>
      <c r="I347" s="1422"/>
      <c r="J347" s="1422"/>
      <c r="K347" s="1422"/>
      <c r="L347" s="1422"/>
      <c r="M347" s="1422"/>
      <c r="N347" s="1422"/>
      <c r="O347" s="1422"/>
      <c r="P347" s="1422"/>
      <c r="Q347" s="1422"/>
      <c r="R347" s="1422"/>
      <c r="S347" s="1422"/>
      <c r="T347" s="1422"/>
      <c r="U347" s="1422"/>
      <c r="V347" s="1422"/>
      <c r="W347" s="1422"/>
      <c r="X347" s="1422"/>
      <c r="Y347" s="1422"/>
      <c r="Z347" s="1422"/>
      <c r="AA347" s="1422"/>
      <c r="AB347" s="1422"/>
      <c r="AC347" s="1422"/>
      <c r="AD347" s="1422"/>
      <c r="AE347" s="1422"/>
      <c r="AF347" s="1422"/>
      <c r="AG347" s="1422"/>
      <c r="AH347" s="1422"/>
      <c r="AI347" s="1422"/>
      <c r="AJ347" s="1422"/>
      <c r="AK347" s="1422"/>
    </row>
    <row r="348" spans="2:37">
      <c r="B348" s="2"/>
      <c r="E348" s="3"/>
      <c r="F348" s="1422"/>
      <c r="G348" s="1422"/>
      <c r="H348" s="1422"/>
      <c r="I348" s="1422"/>
      <c r="J348" s="1422"/>
      <c r="K348" s="1422"/>
      <c r="L348" s="1422"/>
      <c r="M348" s="1422"/>
      <c r="N348" s="1422"/>
      <c r="O348" s="1422"/>
      <c r="P348" s="1422"/>
      <c r="Q348" s="1422"/>
      <c r="R348" s="1422"/>
      <c r="S348" s="1422"/>
      <c r="T348" s="1422"/>
      <c r="U348" s="1422"/>
      <c r="V348" s="1422"/>
      <c r="W348" s="1422"/>
      <c r="X348" s="1422"/>
      <c r="Y348" s="1422"/>
      <c r="Z348" s="1422"/>
      <c r="AA348" s="1422"/>
      <c r="AB348" s="1422"/>
      <c r="AC348" s="1422"/>
      <c r="AD348" s="1422"/>
      <c r="AE348" s="1422"/>
      <c r="AF348" s="1422"/>
      <c r="AG348" s="1422"/>
      <c r="AH348" s="1422"/>
      <c r="AI348" s="1422"/>
      <c r="AJ348" s="1422"/>
      <c r="AK348" s="1422"/>
    </row>
    <row r="349" spans="2:37">
      <c r="B349" s="2"/>
      <c r="E349" s="3"/>
      <c r="F349" s="1422"/>
      <c r="G349" s="1422"/>
      <c r="H349" s="1422"/>
      <c r="I349" s="1422"/>
      <c r="J349" s="1422"/>
      <c r="K349" s="1422"/>
      <c r="L349" s="1422"/>
      <c r="M349" s="1422"/>
      <c r="N349" s="1422"/>
      <c r="O349" s="1422"/>
      <c r="P349" s="1422"/>
      <c r="Q349" s="1422"/>
      <c r="R349" s="1422"/>
      <c r="S349" s="1422"/>
      <c r="T349" s="1422"/>
      <c r="U349" s="1422"/>
      <c r="V349" s="1422"/>
      <c r="W349" s="1422"/>
      <c r="X349" s="1422"/>
      <c r="Y349" s="1422"/>
      <c r="Z349" s="1422"/>
      <c r="AA349" s="1422"/>
      <c r="AB349" s="1422"/>
      <c r="AC349" s="1422"/>
      <c r="AD349" s="1422"/>
      <c r="AE349" s="1422"/>
      <c r="AF349" s="1422"/>
      <c r="AG349" s="1422"/>
      <c r="AH349" s="1422"/>
      <c r="AI349" s="1422"/>
      <c r="AJ349" s="1422"/>
      <c r="AK349" s="1422"/>
    </row>
    <row r="350" spans="2:37">
      <c r="B350" s="2"/>
      <c r="E350" s="3" t="s">
        <v>113</v>
      </c>
      <c r="F350" s="1422" t="s">
        <v>1235</v>
      </c>
      <c r="G350" s="1422"/>
      <c r="H350" s="1422"/>
      <c r="I350" s="1422"/>
      <c r="J350" s="1422"/>
      <c r="K350" s="1422"/>
      <c r="L350" s="1422"/>
      <c r="M350" s="1422"/>
      <c r="N350" s="1422"/>
      <c r="O350" s="1422"/>
      <c r="P350" s="1422"/>
      <c r="Q350" s="1422"/>
      <c r="R350" s="1422"/>
      <c r="S350" s="1422"/>
      <c r="T350" s="1422"/>
      <c r="U350" s="1422"/>
      <c r="V350" s="1422"/>
      <c r="W350" s="1422"/>
      <c r="X350" s="1422"/>
      <c r="Y350" s="1422"/>
      <c r="Z350" s="1422"/>
      <c r="AA350" s="1422"/>
      <c r="AB350" s="1422"/>
      <c r="AC350" s="1422"/>
      <c r="AD350" s="1422"/>
      <c r="AE350" s="1422"/>
      <c r="AF350" s="1422"/>
      <c r="AG350" s="1422"/>
      <c r="AH350" s="1422"/>
      <c r="AI350" s="1422"/>
      <c r="AJ350" s="1422"/>
      <c r="AK350" s="1422"/>
    </row>
    <row r="351" spans="2:37">
      <c r="B351" s="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row>
    <row r="352" spans="2:37">
      <c r="B352" s="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808" t="s">
        <v>1225</v>
      </c>
      <c r="F365" s="1808"/>
      <c r="G365" s="1808"/>
      <c r="H365" s="1808"/>
      <c r="I365" s="1808"/>
      <c r="J365" s="1808"/>
      <c r="K365" s="1808"/>
      <c r="L365" s="1808"/>
      <c r="M365" s="1808"/>
      <c r="N365" s="1808"/>
      <c r="O365" s="1808"/>
      <c r="P365" s="1808"/>
      <c r="Q365" s="1808"/>
      <c r="R365" s="1808"/>
      <c r="S365" s="1808"/>
      <c r="T365" s="1808"/>
      <c r="U365" s="1808"/>
      <c r="V365" s="1808"/>
      <c r="W365" s="1808"/>
      <c r="X365" s="1808"/>
      <c r="Y365" s="1808"/>
      <c r="Z365" s="1808"/>
      <c r="AA365" s="1808"/>
      <c r="AB365" s="1808"/>
      <c r="AC365" s="1808"/>
      <c r="AD365" s="1808"/>
      <c r="AE365" s="1808"/>
      <c r="AF365" s="1808"/>
      <c r="AG365" s="1808"/>
      <c r="AH365" s="1808"/>
      <c r="AI365" s="1808"/>
      <c r="AJ365" s="1808"/>
      <c r="AK365" s="1808"/>
      <c r="AL365" s="1808"/>
    </row>
    <row r="366" spans="1:38">
      <c r="B366" s="2"/>
      <c r="E366" s="1808"/>
      <c r="F366" s="1808"/>
      <c r="G366" s="1808"/>
      <c r="H366" s="1808"/>
      <c r="I366" s="1808"/>
      <c r="J366" s="1808"/>
      <c r="K366" s="1808"/>
      <c r="L366" s="1808"/>
      <c r="M366" s="1808"/>
      <c r="N366" s="1808"/>
      <c r="O366" s="1808"/>
      <c r="P366" s="1808"/>
      <c r="Q366" s="1808"/>
      <c r="R366" s="1808"/>
      <c r="S366" s="1808"/>
      <c r="T366" s="1808"/>
      <c r="U366" s="1808"/>
      <c r="V366" s="1808"/>
      <c r="W366" s="1808"/>
      <c r="X366" s="1808"/>
      <c r="Y366" s="1808"/>
      <c r="Z366" s="1808"/>
      <c r="AA366" s="1808"/>
      <c r="AB366" s="1808"/>
      <c r="AC366" s="1808"/>
      <c r="AD366" s="1808"/>
      <c r="AE366" s="1808"/>
      <c r="AF366" s="1808"/>
      <c r="AG366" s="1808"/>
      <c r="AH366" s="1808"/>
      <c r="AI366" s="1808"/>
      <c r="AJ366" s="1808"/>
      <c r="AK366" s="1808"/>
      <c r="AL366" s="1808"/>
    </row>
    <row r="367" spans="1:38" s="1809" customFormat="1">
      <c r="A367"/>
      <c r="B367" s="2"/>
      <c r="C367"/>
      <c r="D367"/>
      <c r="E367" s="1320" t="s">
        <v>1257</v>
      </c>
    </row>
    <row r="368" spans="1:38" s="180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22" t="s">
        <v>1268</v>
      </c>
      <c r="G386" s="1422"/>
      <c r="H386" s="1422"/>
      <c r="I386" s="1422"/>
      <c r="J386" s="1422"/>
      <c r="K386" s="1422"/>
      <c r="L386" s="1422"/>
      <c r="M386" s="1422"/>
      <c r="N386" s="1422"/>
      <c r="O386" s="1422"/>
      <c r="P386" s="1422"/>
      <c r="Q386" s="1422"/>
      <c r="R386" s="1422"/>
      <c r="S386" s="1422"/>
      <c r="T386" s="1422"/>
      <c r="U386" s="1422"/>
      <c r="V386" s="1422"/>
      <c r="W386" s="1422"/>
      <c r="X386" s="1422"/>
      <c r="Y386" s="1422"/>
      <c r="Z386" s="1422"/>
      <c r="AA386" s="1422"/>
      <c r="AB386" s="1422"/>
      <c r="AC386" s="1422"/>
      <c r="AD386" s="1422"/>
      <c r="AE386" s="1422"/>
      <c r="AF386" s="1422"/>
      <c r="AG386" s="1422"/>
      <c r="AH386" s="1422"/>
      <c r="AI386" s="1422"/>
      <c r="AJ386" s="1422"/>
      <c r="AK386" s="1422"/>
    </row>
    <row r="387" spans="1:38">
      <c r="B387" s="2"/>
      <c r="E387" s="3"/>
      <c r="F387" s="1422"/>
      <c r="G387" s="1422"/>
      <c r="H387" s="1422"/>
      <c r="I387" s="1422"/>
      <c r="J387" s="1422"/>
      <c r="K387" s="1422"/>
      <c r="L387" s="1422"/>
      <c r="M387" s="1422"/>
      <c r="N387" s="1422"/>
      <c r="O387" s="1422"/>
      <c r="P387" s="1422"/>
      <c r="Q387" s="1422"/>
      <c r="R387" s="1422"/>
      <c r="S387" s="1422"/>
      <c r="T387" s="1422"/>
      <c r="U387" s="1422"/>
      <c r="V387" s="1422"/>
      <c r="W387" s="1422"/>
      <c r="X387" s="1422"/>
      <c r="Y387" s="1422"/>
      <c r="Z387" s="1422"/>
      <c r="AA387" s="1422"/>
      <c r="AB387" s="1422"/>
      <c r="AC387" s="1422"/>
      <c r="AD387" s="1422"/>
      <c r="AE387" s="1422"/>
      <c r="AF387" s="1422"/>
      <c r="AG387" s="1422"/>
      <c r="AH387" s="1422"/>
      <c r="AI387" s="1422"/>
      <c r="AJ387" s="1422"/>
      <c r="AK387" s="1422"/>
    </row>
    <row r="388" spans="1:38">
      <c r="B388" s="2"/>
      <c r="E388" s="3"/>
      <c r="F388" s="1422"/>
      <c r="G388" s="1422"/>
      <c r="H388" s="1422"/>
      <c r="I388" s="1422"/>
      <c r="J388" s="1422"/>
      <c r="K388" s="1422"/>
      <c r="L388" s="1422"/>
      <c r="M388" s="1422"/>
      <c r="N388" s="1422"/>
      <c r="O388" s="1422"/>
      <c r="P388" s="1422"/>
      <c r="Q388" s="1422"/>
      <c r="R388" s="1422"/>
      <c r="S388" s="1422"/>
      <c r="T388" s="1422"/>
      <c r="U388" s="1422"/>
      <c r="V388" s="1422"/>
      <c r="W388" s="1422"/>
      <c r="X388" s="1422"/>
      <c r="Y388" s="1422"/>
      <c r="Z388" s="1422"/>
      <c r="AA388" s="1422"/>
      <c r="AB388" s="1422"/>
      <c r="AC388" s="1422"/>
      <c r="AD388" s="1422"/>
      <c r="AE388" s="1422"/>
      <c r="AF388" s="1422"/>
      <c r="AG388" s="1422"/>
      <c r="AH388" s="1422"/>
      <c r="AI388" s="1422"/>
      <c r="AJ388" s="1422"/>
      <c r="AK388" s="142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zoomScale="90" zoomScaleNormal="90" workbookViewId="0">
      <selection activeCell="I22" sqref="I22"/>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65" t="s">
        <v>1573</v>
      </c>
      <c r="B1" s="2665"/>
      <c r="C1" s="2665"/>
      <c r="D1" s="2665"/>
      <c r="E1" s="2665"/>
      <c r="F1" s="2665"/>
      <c r="G1" s="2665"/>
      <c r="H1" s="2665"/>
      <c r="I1" s="2665"/>
      <c r="J1" s="2665"/>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54858908</v>
      </c>
      <c r="I3" s="1099"/>
    </row>
    <row r="4" spans="1:13" s="1046" customFormat="1" ht="20.100000000000001" customHeight="1">
      <c r="B4" s="1088"/>
      <c r="D4" s="1102"/>
      <c r="F4" s="1087" t="s">
        <v>1963</v>
      </c>
      <c r="G4" s="1086" t="s">
        <v>1962</v>
      </c>
      <c r="H4" s="1201">
        <f>I18</f>
        <v>15414904.182857143</v>
      </c>
      <c r="I4" s="1089"/>
      <c r="K4" s="1050"/>
    </row>
    <row r="5" spans="1:13" s="1046" customFormat="1" ht="20.100000000000001" customHeight="1" thickBot="1">
      <c r="B5" s="1090"/>
      <c r="C5" s="1091"/>
      <c r="D5" s="1103"/>
      <c r="E5" s="1092"/>
      <c r="F5" s="1103" t="s">
        <v>1913</v>
      </c>
      <c r="G5" s="1104"/>
      <c r="H5" s="1100">
        <f>IFERROR(H3/H4,0)</f>
        <v>3.5588225102954834</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68" t="s">
        <v>1911</v>
      </c>
      <c r="C8" s="2669"/>
      <c r="D8" s="2669"/>
      <c r="E8" s="2670"/>
      <c r="G8" s="2671" t="s">
        <v>1912</v>
      </c>
      <c r="H8" s="2672"/>
      <c r="I8" s="2673"/>
      <c r="K8" s="1052"/>
    </row>
    <row r="9" spans="1:13" ht="15" customHeight="1">
      <c r="A9" s="1041"/>
      <c r="B9" s="2666" t="s">
        <v>1945</v>
      </c>
      <c r="C9" s="2666"/>
      <c r="D9" s="2666"/>
      <c r="E9" s="1054">
        <f>G33</f>
        <v>11630000</v>
      </c>
      <c r="G9" s="2662" t="s">
        <v>1943</v>
      </c>
      <c r="H9" s="2662"/>
      <c r="I9" s="1055">
        <f>MAX(SUMIF(Application!M562:M573,"Loan, Tax-Exempt",Application!AM562:AM573),27.5%*SUM('Sources and Uses Budget'!C8,'Sources and Uses Budget'!S105,'Sources and Uses Budget'!T105))</f>
        <v>15758208</v>
      </c>
      <c r="K9" s="1056"/>
      <c r="M9" s="1057"/>
    </row>
    <row r="10" spans="1:13" ht="15" customHeight="1" thickBot="1">
      <c r="A10" s="1041"/>
      <c r="B10" s="2666" t="s">
        <v>1946</v>
      </c>
      <c r="C10" s="2666"/>
      <c r="D10" s="2666"/>
      <c r="E10" s="1055">
        <f>G47</f>
        <v>21177108</v>
      </c>
      <c r="G10" s="2664" t="s">
        <v>1914</v>
      </c>
      <c r="H10" s="2664"/>
      <c r="I10" s="1134">
        <f>IF(OR(Application!Z205="State Farmworker Credit",Application!Z205="$500M (Farmworker Housing)"),0,'Basis &amp; Credits'!AB78)</f>
        <v>0</v>
      </c>
      <c r="M10" s="1057"/>
    </row>
    <row r="11" spans="1:13" ht="15" customHeight="1">
      <c r="A11" s="1041"/>
      <c r="B11" s="2675" t="s">
        <v>2208</v>
      </c>
      <c r="C11" s="2676"/>
      <c r="D11" s="2677"/>
      <c r="E11" s="1055">
        <f>SUM(E13,E12)</f>
        <v>420000</v>
      </c>
      <c r="G11" s="2674" t="s">
        <v>1954</v>
      </c>
      <c r="H11" s="2674"/>
      <c r="I11" s="1133">
        <f>I9+I10</f>
        <v>15758208</v>
      </c>
      <c r="M11" s="1057"/>
    </row>
    <row r="12" spans="1:13" ht="15" customHeight="1">
      <c r="A12" s="1058"/>
      <c r="B12" s="2667" t="s">
        <v>2561</v>
      </c>
      <c r="C12" s="2667"/>
      <c r="D12" s="2667"/>
      <c r="E12" s="1158">
        <f>G56</f>
        <v>420000</v>
      </c>
      <c r="M12" s="1057"/>
    </row>
    <row r="13" spans="1:13" ht="15" customHeight="1">
      <c r="A13" s="1044"/>
      <c r="B13" s="2667" t="s">
        <v>2562</v>
      </c>
      <c r="C13" s="2667"/>
      <c r="D13" s="2667"/>
      <c r="E13" s="1158">
        <f>IF(G67,MAX(G65,G79),G65)</f>
        <v>0</v>
      </c>
      <c r="G13" s="2671" t="s">
        <v>1977</v>
      </c>
      <c r="H13" s="2672"/>
      <c r="I13" s="2673"/>
    </row>
    <row r="14" spans="1:13" ht="15" customHeight="1">
      <c r="A14" s="1044"/>
      <c r="B14" s="2675" t="s">
        <v>2209</v>
      </c>
      <c r="C14" s="2676"/>
      <c r="D14" s="2677"/>
      <c r="E14" s="1160">
        <f>MAX(E15,E16)+E17</f>
        <v>21631800</v>
      </c>
      <c r="G14" s="2662" t="s">
        <v>2578</v>
      </c>
      <c r="H14" s="2662"/>
      <c r="I14" s="1059">
        <f>IF(AND(G134="Yes",G136&lt;&gt;""),IF(OR(G141="Yes",G145="Yes"),18%,15%),0)</f>
        <v>0</v>
      </c>
      <c r="M14" s="1057"/>
    </row>
    <row r="15" spans="1:13" ht="15" customHeight="1">
      <c r="A15" s="1044"/>
      <c r="B15" s="2678" t="s">
        <v>2575</v>
      </c>
      <c r="C15" s="2679"/>
      <c r="D15" s="2680"/>
      <c r="E15" s="1158">
        <f>G94</f>
        <v>0</v>
      </c>
      <c r="G15" s="1131" t="s">
        <v>1955</v>
      </c>
      <c r="H15" s="1131"/>
      <c r="I15" s="1059">
        <f>IF(Application!AJ1041&gt;0,10%,IF(Application!AJ1045&gt;0,5%,0))</f>
        <v>0</v>
      </c>
      <c r="M15" s="1057"/>
    </row>
    <row r="16" spans="1:13" ht="15" customHeight="1">
      <c r="A16" s="1044"/>
      <c r="B16" s="2678" t="s">
        <v>2576</v>
      </c>
      <c r="C16" s="2679"/>
      <c r="D16" s="2680"/>
      <c r="E16" s="1158">
        <f>G104</f>
        <v>4652000</v>
      </c>
      <c r="G16" s="2662" t="s">
        <v>1956</v>
      </c>
      <c r="H16" s="2662"/>
      <c r="I16" s="1059">
        <f>G155</f>
        <v>2.1785714285714287E-2</v>
      </c>
    </row>
    <row r="17" spans="1:21" ht="15" customHeight="1" thickBot="1">
      <c r="A17" s="1044"/>
      <c r="B17" s="2678" t="s">
        <v>2577</v>
      </c>
      <c r="C17" s="2679"/>
      <c r="D17" s="2680"/>
      <c r="E17" s="1158">
        <f>G129</f>
        <v>16979800</v>
      </c>
      <c r="G17" s="2662" t="s">
        <v>2217</v>
      </c>
      <c r="H17" s="2662"/>
      <c r="I17" s="1059">
        <f>IF(AND(G161="Yes",G159),IF(G165&gt;15%,15%,G165),0)</f>
        <v>0</v>
      </c>
    </row>
    <row r="18" spans="1:21" ht="15" customHeight="1">
      <c r="A18" s="1041"/>
      <c r="B18" s="2663" t="s">
        <v>1910</v>
      </c>
      <c r="C18" s="2663"/>
      <c r="D18" s="2663"/>
      <c r="E18" s="1105">
        <f>SUM(E9:E11,E14)</f>
        <v>54858908</v>
      </c>
      <c r="G18" s="1132" t="s">
        <v>1944</v>
      </c>
      <c r="H18" s="1132"/>
      <c r="I18" s="1106">
        <f>I11-((I11*I14)+(I11*I15)+(I11*I16)+(I11*I17))</f>
        <v>15414904.182857143</v>
      </c>
      <c r="M18" s="1060">
        <f>SUM(Cdlac[Quantity])</f>
        <v>203</v>
      </c>
      <c r="O18" s="1079" t="s">
        <v>581</v>
      </c>
      <c r="P18" s="1039">
        <f>MATCH(Application!T189,Application!CB160:CB217,0)</f>
        <v>19</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2206</v>
      </c>
      <c r="R19" s="1039" t="s">
        <v>1908</v>
      </c>
      <c r="S19" s="1039" t="s">
        <v>1919</v>
      </c>
      <c r="T19" s="1039" t="s">
        <v>1925</v>
      </c>
      <c r="U19" s="1039" t="s">
        <v>385</v>
      </c>
    </row>
    <row r="20" spans="1:21" ht="15" customHeight="1">
      <c r="B20" s="1061" t="str">
        <f>B9</f>
        <v>A. Unit Production Benefit</v>
      </c>
      <c r="C20" s="1062"/>
      <c r="D20" s="1062"/>
      <c r="E20" s="1062"/>
      <c r="F20" s="1062"/>
      <c r="G20" s="1062"/>
      <c r="H20" s="1062"/>
      <c r="I20" s="1063"/>
      <c r="L20" s="1039">
        <f>IFERROR(MIN(4,MATCH(Application!B726,UnitSizes,0)-1),"")</f>
        <v>0</v>
      </c>
      <c r="M20" s="1060">
        <f>Application!G726</f>
        <v>1</v>
      </c>
      <c r="N20" s="1066">
        <f>Application!AC726</f>
        <v>0.3</v>
      </c>
      <c r="O20" s="1066">
        <f>IF(Cdlac[[#This Row],[Quantity]]&gt;0,IF(Cdlac[[#This Row],[Federal]],30%,IF(AND(OR(NOT($G$38),$G$38=""),$G$43),40%,Cdlac[[#This Row],[iAMI]])),"")</f>
        <v>0.3</v>
      </c>
      <c r="P20" s="1060" cm="1">
        <f t="array" ref="P20">IF(Cdlac[[#This Row],[Quantity]]&gt;0,INDEX(TcacRents,$P$18,Cdlac[[#This Row],[Bedrooms]]+1)*Cdlac[[#This Row],[AMI]],"")</f>
        <v>795</v>
      </c>
      <c r="Q20" s="1157"/>
      <c r="R20" s="1060" cm="1">
        <f t="array" ref="R20">IF(Cdlac[[#This Row],[Quantity]]&gt;0,INDEX(HudFmrs,$P$18,Cdlac[[#This Row],[Bedrooms]]+1),"")</f>
        <v>1856</v>
      </c>
      <c r="S20" s="1060">
        <f>IF(Cdlac[[#This Row],[Quantity]]&gt;0,MAX(0,Cdlac[[#This Row],[Fair Market Rent]]-IF(AND($G$37,$G$38,$G$38&lt;&gt;"",NOT(Cdlac[[#This Row],[Federal]]),Cdlac[[#This Row],[Preservation Rent]]&lt;&gt;""),Cdlac[[#This Row],[Preservation Rent]],Cdlac[[#This Row],[Restricted Rent]])),"")</f>
        <v>1061</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0</v>
      </c>
      <c r="M21" s="1060">
        <f>Application!G727</f>
        <v>1</v>
      </c>
      <c r="N21" s="1066">
        <f>Application!AC727</f>
        <v>0.5</v>
      </c>
      <c r="O21" s="1066">
        <f>IF(Cdlac[[#This Row],[Quantity]]&gt;0,IF(Cdlac[[#This Row],[Federal]],30%,IF(AND(OR(NOT($G$38),$G$38=""),$G$43),40%,Cdlac[[#This Row],[iAMI]])),"")</f>
        <v>0.5</v>
      </c>
      <c r="P21" s="1060" cm="1">
        <f t="array" ref="P21">IF(Cdlac[[#This Row],[Quantity]]&gt;0,INDEX(TcacRents,$P$18,Cdlac[[#This Row],[Bedrooms]]+1)*Cdlac[[#This Row],[AMI]],"")</f>
        <v>1325</v>
      </c>
      <c r="Q21" s="1157"/>
      <c r="R21" s="1060" cm="1">
        <f t="array" ref="R21">IF(Cdlac[[#This Row],[Quantity]]&gt;0,INDEX(HudFmrs,$P$18,Cdlac[[#This Row],[Bedrooms]]+1),"")</f>
        <v>1856</v>
      </c>
      <c r="S21" s="1060">
        <f>IF(Cdlac[[#This Row],[Quantity]]&gt;0,MAX(0,Cdlac[[#This Row],[Fair Market Rent]]-IF(AND($G$37,$G$38,$G$38&lt;&gt;"",NOT(Cdlac[[#This Row],[Federal]]),Cdlac[[#This Row],[Preservation Rent]]&lt;&gt;""),Cdlac[[#This Row],[Preservation Rent]],Cdlac[[#This Row],[Restricted Rent]])),"")</f>
        <v>531</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52" t="s">
        <v>1958</v>
      </c>
      <c r="D22" s="2652" t="s">
        <v>1959</v>
      </c>
      <c r="E22" s="2652" t="s">
        <v>1960</v>
      </c>
      <c r="F22" s="2652" t="s">
        <v>2526</v>
      </c>
      <c r="G22" s="2652" t="s">
        <v>1957</v>
      </c>
      <c r="H22" s="1065"/>
      <c r="I22" s="1064"/>
      <c r="L22" s="1039">
        <f>IFERROR(MIN(4,MATCH(Application!B728,UnitSizes,0)-1),"")</f>
        <v>0</v>
      </c>
      <c r="M22" s="1060">
        <f>Application!G728</f>
        <v>1</v>
      </c>
      <c r="N22" s="1066">
        <f>Application!AC728</f>
        <v>0.6</v>
      </c>
      <c r="O22" s="1066">
        <f>IF(Cdlac[[#This Row],[Quantity]]&gt;0,IF(Cdlac[[#This Row],[Federal]],30%,IF(AND(OR(NOT($G$38),$G$38=""),$G$43),40%,Cdlac[[#This Row],[iAMI]])),"")</f>
        <v>0.6</v>
      </c>
      <c r="P22" s="1060" cm="1">
        <f t="array" ref="P22">IF(Cdlac[[#This Row],[Quantity]]&gt;0,INDEX(TcacRents,$P$18,Cdlac[[#This Row],[Bedrooms]]+1)*Cdlac[[#This Row],[AMI]],"")</f>
        <v>1590</v>
      </c>
      <c r="Q22" s="1157"/>
      <c r="R22" s="1060" cm="1">
        <f t="array" ref="R22">IF(Cdlac[[#This Row],[Quantity]]&gt;0,INDEX(HudFmrs,$P$18,Cdlac[[#This Row],[Bedrooms]]+1),"")</f>
        <v>1856</v>
      </c>
      <c r="S22" s="1060">
        <f>IF(Cdlac[[#This Row],[Quantity]]&gt;0,MAX(0,Cdlac[[#This Row],[Fair Market Rent]]-IF(AND($G$37,$G$38,$G$38&lt;&gt;"",NOT(Cdlac[[#This Row],[Federal]]),Cdlac[[#This Row],[Preservation Rent]]&lt;&gt;""),Cdlac[[#This Row],[Preservation Rent]],Cdlac[[#This Row],[Restricted Rent]])),"")</f>
        <v>266</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53"/>
      <c r="D23" s="2653"/>
      <c r="E23" s="2653"/>
      <c r="F23" s="2653"/>
      <c r="G23" s="2653"/>
      <c r="H23" s="1065"/>
      <c r="I23" s="1064"/>
      <c r="L23" s="1039">
        <f>IFERROR(MIN(4,MATCH(Application!B729,UnitSizes,0)-1),"")</f>
        <v>0</v>
      </c>
      <c r="M23" s="1060">
        <f>Application!G729</f>
        <v>1</v>
      </c>
      <c r="N23" s="1066">
        <f>Application!AC729</f>
        <v>0.7</v>
      </c>
      <c r="O23" s="1066">
        <f>IF(Cdlac[[#This Row],[Quantity]]&gt;0,IF(Cdlac[[#This Row],[Federal]],30%,IF(AND(OR(NOT($G$38),$G$38=""),$G$43),40%,Cdlac[[#This Row],[iAMI]])),"")</f>
        <v>0.7</v>
      </c>
      <c r="P23" s="1060" cm="1">
        <f t="array" ref="P23">IF(Cdlac[[#This Row],[Quantity]]&gt;0,INDEX(TcacRents,$P$18,Cdlac[[#This Row],[Bedrooms]]+1)*Cdlac[[#This Row],[AMI]],"")</f>
        <v>1854.9999999999998</v>
      </c>
      <c r="Q23" s="1157"/>
      <c r="R23" s="1060" cm="1">
        <f t="array" ref="R23">IF(Cdlac[[#This Row],[Quantity]]&gt;0,INDEX(HudFmrs,$P$18,Cdlac[[#This Row],[Bedrooms]]+1),"")</f>
        <v>1856</v>
      </c>
      <c r="S23" s="1060">
        <f>IF(Cdlac[[#This Row],[Quantity]]&gt;0,MAX(0,Cdlac[[#This Row],[Fair Market Rent]]-IF(AND($G$37,$G$38,$G$38&lt;&gt;"",NOT(Cdlac[[#This Row],[Federal]]),Cdlac[[#This Row],[Preservation Rent]]&lt;&gt;""),Cdlac[[#This Row],[Preservation Rent]],Cdlac[[#This Row],[Restricted Rent]])),"")</f>
        <v>1.0000000000002274</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4</v>
      </c>
      <c r="F24" s="1067">
        <f>E24</f>
        <v>4</v>
      </c>
      <c r="G24" s="1067">
        <f>D24*F24</f>
        <v>3.6</v>
      </c>
      <c r="L24" s="1039">
        <f>IFERROR(MIN(4,MATCH(Application!B730,UnitSizes,0)-1),"")</f>
        <v>1</v>
      </c>
      <c r="M24" s="1060">
        <f>Application!G730</f>
        <v>8</v>
      </c>
      <c r="N24" s="1066">
        <f>Application!AC730</f>
        <v>0.3</v>
      </c>
      <c r="O24" s="1066">
        <f>IF(Cdlac[[#This Row],[Quantity]]&gt;0,IF(Cdlac[[#This Row],[Federal]],30%,IF(AND(OR(NOT($G$38),$G$38=""),$G$43),40%,Cdlac[[#This Row],[iAMI]])),"")</f>
        <v>0.3</v>
      </c>
      <c r="P24" s="1060" cm="1">
        <f t="array" ref="P24">IF(Cdlac[[#This Row],[Quantity]]&gt;0,INDEX(TcacRents,$P$18,Cdlac[[#This Row],[Bedrooms]]+1)*Cdlac[[#This Row],[AMI]],"")</f>
        <v>852</v>
      </c>
      <c r="Q24" s="1157"/>
      <c r="R24" s="1060" cm="1">
        <f t="array" ref="R24">IF(Cdlac[[#This Row],[Quantity]]&gt;0,INDEX(HudFmrs,$P$18,Cdlac[[#This Row],[Bedrooms]]+1),"")</f>
        <v>2081</v>
      </c>
      <c r="S24" s="1060">
        <f>IF(Cdlac[[#This Row],[Quantity]]&gt;0,MAX(0,Cdlac[[#This Row],[Fair Market Rent]]-IF(AND($G$37,$G$38,$G$38&lt;&gt;"",NOT(Cdlac[[#This Row],[Federal]]),Cdlac[[#This Row],[Preservation Rent]]&lt;&gt;""),Cdlac[[#This Row],[Preservation Rent]],Cdlac[[#This Row],[Restricted Rent]])),"")</f>
        <v>1229</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79</v>
      </c>
      <c r="F25" s="1067">
        <f>E25</f>
        <v>79</v>
      </c>
      <c r="G25" s="1067">
        <f>D25*F25</f>
        <v>79</v>
      </c>
      <c r="L25" s="1039">
        <f>IFERROR(MIN(4,MATCH(Application!B731,UnitSizes,0)-1),"")</f>
        <v>1</v>
      </c>
      <c r="M25" s="1060">
        <f>Application!G731</f>
        <v>16</v>
      </c>
      <c r="N25" s="1066">
        <f>Application!AC731</f>
        <v>0.5</v>
      </c>
      <c r="O25" s="1066">
        <f>IF(Cdlac[[#This Row],[Quantity]]&gt;0,IF(Cdlac[[#This Row],[Federal]],30%,IF(AND(OR(NOT($G$38),$G$38=""),$G$43),40%,Cdlac[[#This Row],[iAMI]])),"")</f>
        <v>0.5</v>
      </c>
      <c r="P25" s="1060" cm="1">
        <f t="array" ref="P25">IF(Cdlac[[#This Row],[Quantity]]&gt;0,INDEX(TcacRents,$P$18,Cdlac[[#This Row],[Bedrooms]]+1)*Cdlac[[#This Row],[AMI]],"")</f>
        <v>1420</v>
      </c>
      <c r="Q25" s="1157"/>
      <c r="R25" s="1060" cm="1">
        <f t="array" ref="R25">IF(Cdlac[[#This Row],[Quantity]]&gt;0,INDEX(HudFmrs,$P$18,Cdlac[[#This Row],[Bedrooms]]+1),"")</f>
        <v>2081</v>
      </c>
      <c r="S25" s="1060">
        <f>IF(Cdlac[[#This Row],[Quantity]]&gt;0,MAX(0,Cdlac[[#This Row],[Fair Market Rent]]-IF(AND($G$37,$G$38,$G$38&lt;&gt;"",NOT(Cdlac[[#This Row],[Federal]]),Cdlac[[#This Row],[Preservation Rent]]&lt;&gt;""),Cdlac[[#This Row],[Preservation Rent]],Cdlac[[#This Row],[Restricted Rent]])),"")</f>
        <v>661</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120</v>
      </c>
      <c r="F26" s="1070">
        <f>SUM(E26:E28)-SUM(F27:F28)</f>
        <v>120</v>
      </c>
      <c r="G26" s="1067">
        <f>D26*F26</f>
        <v>150</v>
      </c>
      <c r="H26" s="1069"/>
      <c r="I26" s="1069"/>
      <c r="L26" s="1039">
        <f>IFERROR(MIN(4,MATCH(Application!B732,UnitSizes,0)-1),"")</f>
        <v>1</v>
      </c>
      <c r="M26" s="1060">
        <f>Application!G732</f>
        <v>47</v>
      </c>
      <c r="N26" s="1066">
        <f>Application!AC732</f>
        <v>0.6</v>
      </c>
      <c r="O26" s="1066">
        <f>IF(Cdlac[[#This Row],[Quantity]]&gt;0,IF(Cdlac[[#This Row],[Federal]],30%,IF(AND(OR(NOT($G$38),$G$38=""),$G$43),40%,Cdlac[[#This Row],[iAMI]])),"")</f>
        <v>0.6</v>
      </c>
      <c r="P26" s="1060" cm="1">
        <f t="array" ref="P26">IF(Cdlac[[#This Row],[Quantity]]&gt;0,INDEX(TcacRents,$P$18,Cdlac[[#This Row],[Bedrooms]]+1)*Cdlac[[#This Row],[AMI]],"")</f>
        <v>1704</v>
      </c>
      <c r="Q26" s="1157"/>
      <c r="R26" s="1060" cm="1">
        <f t="array" ref="R26">IF(Cdlac[[#This Row],[Quantity]]&gt;0,INDEX(HudFmrs,$P$18,Cdlac[[#This Row],[Bedrooms]]+1),"")</f>
        <v>2081</v>
      </c>
      <c r="S26" s="1060">
        <f>IF(Cdlac[[#This Row],[Quantity]]&gt;0,MAX(0,Cdlac[[#This Row],[Fair Market Rent]]-IF(AND($G$37,$G$38,$G$38&lt;&gt;"",NOT(Cdlac[[#This Row],[Federal]]),Cdlac[[#This Row],[Preservation Rent]]&lt;&gt;""),Cdlac[[#This Row],[Preservation Rent]],Cdlac[[#This Row],[Restricted Rent]])),"")</f>
        <v>377</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f>IFERROR(MIN(4,MATCH(Application!B733,UnitSizes,0)-1),"")</f>
        <v>1</v>
      </c>
      <c r="M27" s="1060">
        <f>Application!G733</f>
        <v>8</v>
      </c>
      <c r="N27" s="1066">
        <f>Application!AC733</f>
        <v>0.7</v>
      </c>
      <c r="O27" s="1066">
        <f>IF(Cdlac[[#This Row],[Quantity]]&gt;0,IF(Cdlac[[#This Row],[Federal]],30%,IF(AND(OR(NOT($G$38),$G$38=""),$G$43),40%,Cdlac[[#This Row],[iAMI]])),"")</f>
        <v>0.7</v>
      </c>
      <c r="P27" s="1060" cm="1">
        <f t="array" ref="P27">IF(Cdlac[[#This Row],[Quantity]]&gt;0,INDEX(TcacRents,$P$18,Cdlac[[#This Row],[Bedrooms]]+1)*Cdlac[[#This Row],[AMI]],"")</f>
        <v>1987.9999999999998</v>
      </c>
      <c r="Q27" s="1157"/>
      <c r="R27" s="1060" cm="1">
        <f t="array" ref="R27">IF(Cdlac[[#This Row],[Quantity]]&gt;0,INDEX(HudFmrs,$P$18,Cdlac[[#This Row],[Bedrooms]]+1),"")</f>
        <v>2081</v>
      </c>
      <c r="S27" s="1060">
        <f>IF(Cdlac[[#This Row],[Quantity]]&gt;0,MAX(0,Cdlac[[#This Row],[Fair Market Rent]]-IF(AND($G$37,$G$38,$G$38&lt;&gt;"",NOT(Cdlac[[#This Row],[Federal]]),Cdlac[[#This Row],[Preservation Rent]]&lt;&gt;""),Cdlac[[#This Row],[Preservation Rent]],Cdlac[[#This Row],[Restricted Rent]])),"")</f>
        <v>93.000000000000227</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12</v>
      </c>
      <c r="N28" s="1066">
        <f>Application!AC734</f>
        <v>0.3</v>
      </c>
      <c r="O28" s="1066">
        <f>IF(Cdlac[[#This Row],[Quantity]]&gt;0,IF(Cdlac[[#This Row],[Federal]],30%,IF(AND(OR(NOT($G$38),$G$38=""),$G$43),40%,Cdlac[[#This Row],[iAMI]])),"")</f>
        <v>0.3</v>
      </c>
      <c r="P28" s="1060" cm="1">
        <f t="array" ref="P28">IF(Cdlac[[#This Row],[Quantity]]&gt;0,INDEX(TcacRents,$P$18,Cdlac[[#This Row],[Bedrooms]]+1)*Cdlac[[#This Row],[AMI]],"")</f>
        <v>1021.8</v>
      </c>
      <c r="Q28" s="1157"/>
      <c r="R28" s="1060" cm="1">
        <f t="array" ref="R28">IF(Cdlac[[#This Row],[Quantity]]&gt;0,INDEX(HudFmrs,$P$18,Cdlac[[#This Row],[Bedrooms]]+1),"")</f>
        <v>2625</v>
      </c>
      <c r="S28" s="1060">
        <f>IF(Cdlac[[#This Row],[Quantity]]&gt;0,MAX(0,Cdlac[[#This Row],[Fair Market Rent]]-IF(AND($G$37,$G$38,$G$38&lt;&gt;"",NOT(Cdlac[[#This Row],[Federal]]),Cdlac[[#This Row],[Preservation Rent]]&lt;&gt;""),Cdlac[[#This Row],[Preservation Rent]],Cdlac[[#This Row],[Restricted Rent]])),"")</f>
        <v>1603.2</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82" t="s">
        <v>1574</v>
      </c>
      <c r="D29" s="2683"/>
      <c r="E29" s="1084">
        <f>SUM(E24:E28)</f>
        <v>203</v>
      </c>
      <c r="F29" s="1084">
        <f>SUM(F24:F28)</f>
        <v>203</v>
      </c>
      <c r="G29" s="1085">
        <f>SUMPRODUCT(D24:D28,F24:F28)</f>
        <v>232.6</v>
      </c>
      <c r="H29" s="1069"/>
      <c r="I29" s="1069"/>
      <c r="L29" s="1039">
        <f>IFERROR(MIN(4,MATCH(Application!B735,UnitSizes,0)-1),"")</f>
        <v>2</v>
      </c>
      <c r="M29" s="1060">
        <f>Application!G735</f>
        <v>24</v>
      </c>
      <c r="N29" s="1066">
        <f>Application!AC735</f>
        <v>0.5</v>
      </c>
      <c r="O29" s="1066">
        <f>IF(Cdlac[[#This Row],[Quantity]]&gt;0,IF(Cdlac[[#This Row],[Federal]],30%,IF(AND(OR(NOT($G$38),$G$38=""),$G$43),40%,Cdlac[[#This Row],[iAMI]])),"")</f>
        <v>0.5</v>
      </c>
      <c r="P29" s="1060" cm="1">
        <f t="array" ref="P29">IF(Cdlac[[#This Row],[Quantity]]&gt;0,INDEX(TcacRents,$P$18,Cdlac[[#This Row],[Bedrooms]]+1)*Cdlac[[#This Row],[AMI]],"")</f>
        <v>1703</v>
      </c>
      <c r="Q29" s="1157"/>
      <c r="R29" s="1060" cm="1">
        <f t="array" ref="R29">IF(Cdlac[[#This Row],[Quantity]]&gt;0,INDEX(HudFmrs,$P$18,Cdlac[[#This Row],[Bedrooms]]+1),"")</f>
        <v>2625</v>
      </c>
      <c r="S29" s="1060">
        <f>IF(Cdlac[[#This Row],[Quantity]]&gt;0,MAX(0,Cdlac[[#This Row],[Fair Market Rent]]-IF(AND($G$37,$G$38,$G$38&lt;&gt;"",NOT(Cdlac[[#This Row],[Federal]]),Cdlac[[#This Row],[Preservation Rent]]&lt;&gt;""),Cdlac[[#This Row],[Preservation Rent]],Cdlac[[#This Row],[Restricted Rent]])),"")</f>
        <v>922</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2</v>
      </c>
      <c r="M30" s="1060">
        <f>Application!G736</f>
        <v>45</v>
      </c>
      <c r="N30" s="1066">
        <f>Application!AC736</f>
        <v>0.6</v>
      </c>
      <c r="O30" s="1066">
        <f>IF(Cdlac[[#This Row],[Quantity]]&gt;0,IF(Cdlac[[#This Row],[Federal]],30%,IF(AND(OR(NOT($G$38),$G$38=""),$G$43),40%,Cdlac[[#This Row],[iAMI]])),"")</f>
        <v>0.6</v>
      </c>
      <c r="P30" s="1060" cm="1">
        <f t="array" ref="P30">IF(Cdlac[[#This Row],[Quantity]]&gt;0,INDEX(TcacRents,$P$18,Cdlac[[#This Row],[Bedrooms]]+1)*Cdlac[[#This Row],[AMI]],"")</f>
        <v>2043.6</v>
      </c>
      <c r="Q30" s="1157"/>
      <c r="R30" s="1060" cm="1">
        <f t="array" ref="R30">IF(Cdlac[[#This Row],[Quantity]]&gt;0,INDEX(HudFmrs,$P$18,Cdlac[[#This Row],[Bedrooms]]+1),"")</f>
        <v>2625</v>
      </c>
      <c r="S30" s="1060">
        <f>IF(Cdlac[[#This Row],[Quantity]]&gt;0,MAX(0,Cdlac[[#This Row],[Fair Market Rent]]-IF(AND($G$37,$G$38,$G$38&lt;&gt;"",NOT(Cdlac[[#This Row],[Federal]]),Cdlac[[#This Row],[Preservation Rent]]&lt;&gt;""),Cdlac[[#This Row],[Preservation Rent]],Cdlac[[#This Row],[Restricted Rent]])),"")</f>
        <v>581.40000000000009</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232.6</v>
      </c>
      <c r="H31" s="1069"/>
      <c r="I31" s="1069"/>
      <c r="L31" s="1039">
        <f>IFERROR(MIN(4,MATCH(Application!B737,UnitSizes,0)-1),"")</f>
        <v>2</v>
      </c>
      <c r="M31" s="1060">
        <f>Application!G737</f>
        <v>39</v>
      </c>
      <c r="N31" s="1066">
        <f>Application!AC737</f>
        <v>0.7</v>
      </c>
      <c r="O31" s="1066">
        <f>IF(Cdlac[[#This Row],[Quantity]]&gt;0,IF(Cdlac[[#This Row],[Federal]],30%,IF(AND(OR(NOT($G$38),$G$38=""),$G$43),40%,Cdlac[[#This Row],[iAMI]])),"")</f>
        <v>0.7</v>
      </c>
      <c r="P31" s="1060" cm="1">
        <f t="array" ref="P31">IF(Cdlac[[#This Row],[Quantity]]&gt;0,INDEX(TcacRents,$P$18,Cdlac[[#This Row],[Bedrooms]]+1)*Cdlac[[#This Row],[AMI]],"")</f>
        <v>2384.1999999999998</v>
      </c>
      <c r="Q31" s="1157"/>
      <c r="R31" s="1060" cm="1">
        <f t="array" ref="R31">IF(Cdlac[[#This Row],[Quantity]]&gt;0,INDEX(HudFmrs,$P$18,Cdlac[[#This Row],[Bedrooms]]+1),"")</f>
        <v>2625</v>
      </c>
      <c r="S31" s="1060">
        <f>IF(Cdlac[[#This Row],[Quantity]]&gt;0,MAX(0,Cdlac[[#This Row],[Fair Market Rent]]-IF(AND($G$37,$G$38,$G$38&lt;&gt;"",NOT(Cdlac[[#This Row],[Federal]]),Cdlac[[#This Row],[Preservation Rent]]&lt;&gt;""),Cdlac[[#This Row],[Preservation Rent]],Cdlac[[#This Row],[Restricted Rent]])),"")</f>
        <v>240.80000000000018</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11630000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2560</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2205</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85" t="str">
        <f>IF(AND(G37,G38,G38&lt;&gt;""),"Enter the average rent charged for each unit type over the last three years, as documented with rent rolls or property audits, in cells Q20:Q44","")</f>
        <v/>
      </c>
      <c r="D39" s="2685"/>
      <c r="E39" s="2685"/>
      <c r="F39" s="2685"/>
      <c r="G39" s="2685"/>
      <c r="H39" s="2685"/>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85"/>
      <c r="D40" s="2685"/>
      <c r="E40" s="2685"/>
      <c r="F40" s="2685"/>
      <c r="G40" s="2685"/>
      <c r="H40" s="2685"/>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85"/>
      <c r="D41" s="2685"/>
      <c r="E41" s="2685"/>
      <c r="F41" s="2685"/>
      <c r="G41" s="2685"/>
      <c r="H41" s="2685"/>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0.57241379310344831</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117650.6</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21177108</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21</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101</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21</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420000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101</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2565</v>
      </c>
      <c r="G67" s="1039" t="b">
        <f>Application!V227="Yes"</f>
        <v>0</v>
      </c>
    </row>
    <row r="68" spans="5:7" ht="15" customHeight="1">
      <c r="E68" s="1079" t="s">
        <v>2566</v>
      </c>
      <c r="G68" s="1202">
        <f>SUMIF(Application!AK726:AK760,"Homeless",Application!G726:G760)</f>
        <v>0</v>
      </c>
    </row>
    <row r="69" spans="5:7" ht="15" customHeight="1">
      <c r="E69" s="1079"/>
    </row>
    <row r="70" spans="5:7" ht="15" customHeight="1">
      <c r="E70" s="1079" t="s">
        <v>2567</v>
      </c>
      <c r="G70" s="1203"/>
    </row>
    <row r="71" spans="5:7" ht="15" customHeight="1">
      <c r="E71" s="1079" t="s">
        <v>2568</v>
      </c>
      <c r="G71" s="1203"/>
    </row>
    <row r="72" spans="5:7" ht="15" customHeight="1">
      <c r="E72" s="1079" t="s">
        <v>2569</v>
      </c>
      <c r="G72" s="1202">
        <f>IF(G71=0,0,(G70/G71)*100000)</f>
        <v>0</v>
      </c>
    </row>
    <row r="73" spans="5:7" ht="15" customHeight="1">
      <c r="E73" s="1079" t="s">
        <v>2570</v>
      </c>
      <c r="G73" s="1203"/>
    </row>
    <row r="74" spans="5:7" ht="15" customHeight="1">
      <c r="E74" s="1079" t="s">
        <v>2571</v>
      </c>
      <c r="G74" s="1203"/>
    </row>
    <row r="75" spans="5:7" ht="15" customHeight="1">
      <c r="E75" s="1079" t="s">
        <v>2572</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544</v>
      </c>
      <c r="L83" s="2654" t="s">
        <v>1941</v>
      </c>
      <c r="M83" s="2655"/>
      <c r="N83" s="1125">
        <v>30000</v>
      </c>
    </row>
    <row r="84" spans="2:14" ht="15" customHeight="1">
      <c r="C84" s="1072" t="s">
        <v>1953</v>
      </c>
      <c r="G84" s="1076" t="str">
        <f>IF(Application!D211="Large Family","Yes","No")</f>
        <v>No</v>
      </c>
      <c r="L84" s="2658" t="s">
        <v>1909</v>
      </c>
      <c r="M84" s="2659"/>
      <c r="N84" s="1126">
        <v>20000</v>
      </c>
    </row>
    <row r="85" spans="2:14" ht="15" customHeight="1" thickBot="1">
      <c r="C85" s="1072" t="s">
        <v>1939</v>
      </c>
      <c r="G85" s="1038" t="s">
        <v>668</v>
      </c>
      <c r="L85" s="2660" t="s">
        <v>1942</v>
      </c>
      <c r="M85" s="2661"/>
      <c r="N85" s="1127">
        <v>10000</v>
      </c>
    </row>
    <row r="86" spans="2:14" ht="15" customHeight="1" thickBot="1">
      <c r="C86" s="1072" t="s">
        <v>1940</v>
      </c>
      <c r="G86" s="1039" t="str">
        <f>Application!T193</f>
        <v>Low Resource</v>
      </c>
    </row>
    <row r="87" spans="2:14" ht="15" customHeight="1">
      <c r="C87" s="2688" t="s">
        <v>2207</v>
      </c>
      <c r="D87" s="2688"/>
      <c r="E87" s="2688"/>
      <c r="F87" s="2688"/>
      <c r="G87" s="1038" t="s">
        <v>668</v>
      </c>
      <c r="L87" s="1121" t="str">
        <f>'Points System'!H651</f>
        <v>(i)</v>
      </c>
      <c r="M87" s="2656" t="s">
        <v>1396</v>
      </c>
      <c r="N87" s="2657"/>
    </row>
    <row r="88" spans="2:14" ht="15" customHeight="1">
      <c r="C88" s="2688"/>
      <c r="D88" s="2688"/>
      <c r="E88" s="2688"/>
      <c r="F88" s="2688"/>
      <c r="L88" s="1122" t="str">
        <f>'Points System'!H663</f>
        <v>(i)</v>
      </c>
      <c r="M88" s="2648" t="s">
        <v>1928</v>
      </c>
      <c r="N88" s="2649"/>
    </row>
    <row r="89" spans="2:14" ht="15" customHeight="1">
      <c r="C89" s="1072"/>
      <c r="L89" s="1122" t="str">
        <f>'Points System'!H698</f>
        <v>(i)</v>
      </c>
      <c r="M89" s="2648" t="s">
        <v>1929</v>
      </c>
      <c r="N89" s="2649"/>
    </row>
    <row r="90" spans="2:14" ht="15" customHeight="1">
      <c r="E90" s="1079" t="s">
        <v>1971</v>
      </c>
      <c r="G90" s="1074" t="b">
        <f>OR(AND(COUNTIFS(G84:G85,"Yes")&gt;=1,G83="Yes"),G87="Yes")</f>
        <v>0</v>
      </c>
      <c r="L90" s="1122" t="str">
        <f>IF(OR('Points System'!H722="(ii)",'Points System'!H722="(i)"),"(i)","N/A")</f>
        <v>N/A</v>
      </c>
      <c r="M90" s="2648" t="s">
        <v>1930</v>
      </c>
      <c r="N90" s="2649"/>
    </row>
    <row r="91" spans="2:14" ht="15" customHeight="1">
      <c r="E91" s="1079"/>
      <c r="G91" s="1074"/>
      <c r="L91" s="1123" t="str">
        <f>'Points System'!H736</f>
        <v>N/A</v>
      </c>
      <c r="M91" s="2648" t="s">
        <v>1422</v>
      </c>
      <c r="N91" s="2649"/>
    </row>
    <row r="92" spans="2:14" ht="15" customHeight="1">
      <c r="E92" s="1079" t="s">
        <v>1916</v>
      </c>
      <c r="G92" s="1073">
        <f>IFERROR(IF($G$87="Yes",30000,INDEX(N83:N85,MATCH(LEFT(G86,17),L83:L85,0))),0)</f>
        <v>0</v>
      </c>
      <c r="L92" s="1122" t="str">
        <f>'Points System'!H748</f>
        <v>N/A</v>
      </c>
      <c r="M92" s="2648" t="s">
        <v>1931</v>
      </c>
      <c r="N92" s="2649"/>
    </row>
    <row r="93" spans="2:14" ht="15" customHeight="1">
      <c r="E93" s="1079" t="str">
        <f>E110</f>
        <v>Bedroom-Adjusted Low-Income Units</v>
      </c>
      <c r="F93" s="1107" t="s">
        <v>1964</v>
      </c>
      <c r="G93" s="1108">
        <f>G29</f>
        <v>232.6</v>
      </c>
      <c r="L93" s="1122" t="str">
        <f>'Points System'!H764</f>
        <v>(i)</v>
      </c>
      <c r="M93" s="2648" t="s">
        <v>1932</v>
      </c>
      <c r="N93" s="2649"/>
    </row>
    <row r="94" spans="2:14" ht="15" customHeight="1" thickBot="1">
      <c r="D94" s="1041"/>
      <c r="E94" s="1112" t="s">
        <v>2210</v>
      </c>
      <c r="F94" s="1041"/>
      <c r="G94" s="1117">
        <f>G93*G92*G90</f>
        <v>0</v>
      </c>
      <c r="L94" s="1124" t="str">
        <f>'Points System'!H776</f>
        <v>(i)</v>
      </c>
      <c r="M94" s="2650" t="s">
        <v>1425</v>
      </c>
      <c r="N94" s="2651"/>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544</v>
      </c>
    </row>
    <row r="99" spans="2:9" ht="15" customHeight="1">
      <c r="F99" s="1110"/>
    </row>
    <row r="100" spans="2:9" ht="15" customHeight="1">
      <c r="E100" s="1079" t="s">
        <v>1971</v>
      </c>
      <c r="G100" s="1074" t="b">
        <f>G98="Yes"</f>
        <v>1</v>
      </c>
    </row>
    <row r="101" spans="2:9" ht="15" customHeight="1"/>
    <row r="102" spans="2:9" ht="15" customHeight="1">
      <c r="E102" s="1079" t="str">
        <f>E110</f>
        <v>Bedroom-Adjusted Low-Income Units</v>
      </c>
      <c r="G102" s="1108">
        <f>G29</f>
        <v>232.6</v>
      </c>
    </row>
    <row r="103" spans="2:9" ht="15" customHeight="1">
      <c r="E103" s="1079" t="s">
        <v>1916</v>
      </c>
      <c r="F103" s="1107" t="s">
        <v>1964</v>
      </c>
      <c r="G103" s="1045">
        <v>20000</v>
      </c>
    </row>
    <row r="104" spans="2:9" ht="15" customHeight="1">
      <c r="E104" s="1112" t="s">
        <v>2211</v>
      </c>
      <c r="F104" s="1041"/>
      <c r="G104" s="1117">
        <f>G100*G103*G102</f>
        <v>4652000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7</v>
      </c>
    </row>
    <row r="109" spans="2:9" ht="15" customHeight="1">
      <c r="E109" s="1079" t="s">
        <v>1916</v>
      </c>
      <c r="F109" s="1107" t="s">
        <v>1964</v>
      </c>
      <c r="G109" s="1071">
        <v>4000</v>
      </c>
    </row>
    <row r="110" spans="2:9" ht="15" customHeight="1">
      <c r="E110" s="1079" t="s">
        <v>1968</v>
      </c>
      <c r="F110" s="1107" t="s">
        <v>1964</v>
      </c>
      <c r="G110" s="1120">
        <f>G29</f>
        <v>232.6</v>
      </c>
    </row>
    <row r="111" spans="2:9" ht="15" customHeight="1">
      <c r="E111" s="1112" t="s">
        <v>1933</v>
      </c>
      <c r="F111" s="1041"/>
      <c r="G111" s="1117">
        <f>G108*G109*G110</f>
        <v>6512800</v>
      </c>
    </row>
    <row r="112" spans="2:9" ht="15" customHeight="1">
      <c r="C112" s="1072"/>
      <c r="G112" s="1108"/>
    </row>
    <row r="113" spans="2:7" ht="15" customHeight="1">
      <c r="E113" s="1079" t="s">
        <v>1969</v>
      </c>
      <c r="G113" s="1108">
        <f>COUNTIFS(L87:L94,"(i)")</f>
        <v>5</v>
      </c>
    </row>
    <row r="114" spans="2:7" ht="15" customHeight="1">
      <c r="E114" s="1079" t="s">
        <v>1916</v>
      </c>
      <c r="F114" s="1107" t="s">
        <v>1964</v>
      </c>
      <c r="G114" s="1118">
        <v>4000</v>
      </c>
    </row>
    <row r="115" spans="2:7" ht="15" customHeight="1">
      <c r="E115" s="1112" t="s">
        <v>1934</v>
      </c>
      <c r="F115" s="1041"/>
      <c r="G115" s="1117">
        <f>G110*G113*G114</f>
        <v>4652000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2093</v>
      </c>
      <c r="G120" s="1038" t="s">
        <v>544</v>
      </c>
    </row>
    <row r="121" spans="2:7">
      <c r="C121" s="1072" t="s">
        <v>2094</v>
      </c>
      <c r="G121" s="1038"/>
    </row>
    <row r="123" spans="2:7">
      <c r="B123" s="1073"/>
      <c r="C123" s="1072"/>
      <c r="E123" s="1079" t="s">
        <v>1971</v>
      </c>
      <c r="G123" s="1074" t="b">
        <f>COUNTIFS(G118:G121,"Yes")&gt;=1</f>
        <v>1</v>
      </c>
    </row>
    <row r="124" spans="2:7">
      <c r="E124" s="1072"/>
    </row>
    <row r="125" spans="2:7" ht="15">
      <c r="E125" s="1079" t="s">
        <v>1968</v>
      </c>
      <c r="F125" s="1107" t="s">
        <v>1964</v>
      </c>
      <c r="G125" s="1108">
        <f>G29</f>
        <v>232.6</v>
      </c>
    </row>
    <row r="126" spans="2:7" ht="15">
      <c r="E126" s="1079" t="s">
        <v>1916</v>
      </c>
      <c r="F126" s="1107" t="s">
        <v>1964</v>
      </c>
      <c r="G126" s="1118">
        <v>25000</v>
      </c>
    </row>
    <row r="127" spans="2:7" ht="15">
      <c r="E127" s="1112" t="s">
        <v>1935</v>
      </c>
      <c r="F127" s="1041"/>
      <c r="G127" s="1117">
        <f>G123*G126*G110</f>
        <v>5815000</v>
      </c>
    </row>
    <row r="128" spans="2:7">
      <c r="C128" s="1072"/>
      <c r="E128" s="1072"/>
    </row>
    <row r="129" spans="2:9" ht="15">
      <c r="E129" s="1112" t="s">
        <v>2212</v>
      </c>
      <c r="G129" s="1117">
        <f>G127+G115+G111</f>
        <v>16979800</v>
      </c>
    </row>
    <row r="131" spans="2:9" ht="15">
      <c r="B131" s="1061" t="s">
        <v>139</v>
      </c>
      <c r="C131" s="1062"/>
      <c r="D131" s="1062"/>
      <c r="E131" s="1062"/>
      <c r="F131" s="1062"/>
      <c r="G131" s="1062"/>
      <c r="H131" s="1062"/>
      <c r="I131" s="1063"/>
    </row>
    <row r="133" spans="2:9">
      <c r="C133" s="2684" t="s">
        <v>2179</v>
      </c>
      <c r="D133" s="2684"/>
      <c r="E133" s="2684"/>
      <c r="F133" s="2684"/>
    </row>
    <row r="134" spans="2:9">
      <c r="C134" s="2684"/>
      <c r="D134" s="2684"/>
      <c r="E134" s="2684"/>
      <c r="F134" s="2684"/>
      <c r="G134" s="1038"/>
    </row>
    <row r="135" spans="2:9" ht="14.25" customHeight="1"/>
    <row r="136" spans="2:9">
      <c r="C136" s="1039" t="s">
        <v>2181</v>
      </c>
      <c r="G136" s="2686"/>
      <c r="H136" s="2686"/>
    </row>
    <row r="137" spans="2:9">
      <c r="G137" s="2686"/>
      <c r="H137" s="2686"/>
    </row>
    <row r="138" spans="2:9">
      <c r="G138" s="2687"/>
      <c r="H138" s="2687"/>
    </row>
    <row r="140" spans="2:9">
      <c r="C140" s="2684" t="s">
        <v>2580</v>
      </c>
      <c r="D140" s="2684"/>
      <c r="E140" s="2684"/>
      <c r="F140" s="2684"/>
    </row>
    <row r="141" spans="2:9">
      <c r="C141" s="2684"/>
      <c r="D141" s="2684"/>
      <c r="E141" s="2684"/>
      <c r="F141" s="2684"/>
      <c r="G141" s="1038"/>
    </row>
    <row r="142" spans="2:9">
      <c r="C142" s="2684"/>
      <c r="D142" s="2684"/>
      <c r="E142" s="2684"/>
      <c r="F142" s="2684"/>
    </row>
    <row r="144" spans="2:9">
      <c r="C144" s="2684" t="s">
        <v>2579</v>
      </c>
      <c r="D144" s="2684"/>
      <c r="E144" s="2684"/>
      <c r="F144" s="2684"/>
    </row>
    <row r="145" spans="2:9">
      <c r="C145" s="2684"/>
      <c r="D145" s="2684"/>
      <c r="E145" s="2684"/>
      <c r="F145" s="2684"/>
      <c r="G145" s="1038"/>
    </row>
    <row r="146" spans="2:9">
      <c r="C146" s="2684"/>
      <c r="D146" s="2684"/>
      <c r="E146" s="2684"/>
      <c r="F146" s="2684"/>
    </row>
    <row r="147" spans="2:9">
      <c r="C147" s="2684"/>
      <c r="D147" s="2684"/>
      <c r="E147" s="2684"/>
      <c r="F147" s="2684"/>
    </row>
    <row r="149" spans="2:9" ht="15">
      <c r="B149" s="1061" t="s">
        <v>1973</v>
      </c>
      <c r="C149" s="1062"/>
      <c r="D149" s="1062"/>
      <c r="E149" s="1062"/>
      <c r="F149" s="1062"/>
      <c r="G149" s="1062"/>
      <c r="H149" s="1062"/>
      <c r="I149" s="1063"/>
    </row>
    <row r="151" spans="2:9">
      <c r="E151" s="1079" t="s">
        <v>581</v>
      </c>
      <c r="G151" s="1039" t="str">
        <f>IF(Application!T189="","",Application!T189)</f>
        <v>Los Angeles</v>
      </c>
    </row>
    <row r="152" spans="2:9">
      <c r="E152" s="1079"/>
      <c r="G152" s="1073"/>
    </row>
    <row r="153" spans="2:9">
      <c r="E153" s="1079" t="str">
        <f>"2-Bedroom "&amp;G151&amp;" County Basis Limit"</f>
        <v>2-Bedroom Los Angeles County Basis Limit</v>
      </c>
      <c r="G153" s="1073">
        <f>Application!R997</f>
        <v>608800</v>
      </c>
    </row>
    <row r="154" spans="2:9">
      <c r="E154" s="1079" t="s">
        <v>1972</v>
      </c>
      <c r="G154" s="1073">
        <f>MEDIAN((Application!CU160:CU217))</f>
        <v>560000</v>
      </c>
    </row>
    <row r="155" spans="2:9" ht="15">
      <c r="D155" s="1041"/>
      <c r="E155" s="1112" t="s">
        <v>1974</v>
      </c>
      <c r="F155" s="1128"/>
      <c r="G155" s="1129">
        <f>((G153-G154)/G154)*0.25</f>
        <v>2.1785714285714287E-2</v>
      </c>
      <c r="H155" s="1037"/>
      <c r="I155" s="1037"/>
    </row>
    <row r="156" spans="2:9">
      <c r="D156" s="1040"/>
      <c r="E156" s="1040"/>
    </row>
    <row r="157" spans="2:9" ht="15">
      <c r="B157" s="1061" t="s">
        <v>2213</v>
      </c>
      <c r="C157" s="1062"/>
      <c r="D157" s="1062"/>
      <c r="E157" s="1062"/>
      <c r="F157" s="1062"/>
      <c r="G157" s="1062"/>
      <c r="H157" s="1062"/>
      <c r="I157" s="1063"/>
    </row>
    <row r="159" spans="2:9">
      <c r="E159" s="1079" t="s">
        <v>2560</v>
      </c>
      <c r="G159" s="1039" t="b">
        <f>G37</f>
        <v>0</v>
      </c>
    </row>
    <row r="160" spans="2:9">
      <c r="C160" s="2681" t="s">
        <v>2214</v>
      </c>
      <c r="D160" s="2681"/>
      <c r="E160" s="2681"/>
      <c r="F160" s="2681"/>
    </row>
    <row r="161" spans="2:7">
      <c r="B161" s="1040"/>
      <c r="C161" s="2681"/>
      <c r="D161" s="2681"/>
      <c r="E161" s="2681"/>
      <c r="F161" s="2681"/>
      <c r="G161" s="1038"/>
    </row>
    <row r="162" spans="2:7">
      <c r="B162" s="1040"/>
      <c r="C162" s="1040"/>
      <c r="D162" s="1040"/>
      <c r="E162" s="1040"/>
      <c r="F162" s="1040"/>
    </row>
    <row r="163" spans="2:7">
      <c r="E163" s="1079" t="s">
        <v>2216</v>
      </c>
      <c r="G163" s="1162"/>
    </row>
    <row r="165" spans="2:7">
      <c r="E165" s="1079" t="s">
        <v>2218</v>
      </c>
      <c r="G165" s="1161">
        <f>IF(I9=0,0,G163/I9)</f>
        <v>0</v>
      </c>
    </row>
    <row r="166" spans="2:7">
      <c r="E166" s="1079" t="s">
        <v>2215</v>
      </c>
      <c r="G166" s="1159">
        <f>I9*0.15</f>
        <v>2363731.1999999997</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9"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9" workbookViewId="0">
      <selection activeCell="M10" sqref="M10"/>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9" t="s">
        <v>908</v>
      </c>
      <c r="B1" s="2689"/>
      <c r="C1" s="2689"/>
      <c r="D1" s="2689"/>
      <c r="E1" s="2689"/>
      <c r="F1" s="2689"/>
      <c r="G1" s="2689"/>
      <c r="H1" s="2689"/>
      <c r="I1" s="2689"/>
      <c r="J1" s="2689"/>
      <c r="K1" s="204"/>
      <c r="L1" s="204"/>
    </row>
    <row r="2" spans="1:12">
      <c r="A2" s="210"/>
      <c r="B2" s="210"/>
      <c r="C2" s="210"/>
      <c r="D2" s="210"/>
      <c r="E2" s="210"/>
      <c r="F2" s="210"/>
      <c r="G2" s="210"/>
      <c r="H2" s="210"/>
      <c r="I2" s="210"/>
      <c r="J2" s="210"/>
    </row>
    <row r="3" spans="1:12" ht="100.5">
      <c r="A3" s="426" t="s">
        <v>909</v>
      </c>
      <c r="B3" s="426" t="s">
        <v>2200</v>
      </c>
      <c r="C3" s="426" t="s">
        <v>2201</v>
      </c>
      <c r="D3" s="1140" t="s">
        <v>2202</v>
      </c>
      <c r="E3" s="204"/>
      <c r="F3" s="1140" t="s">
        <v>910</v>
      </c>
      <c r="G3" s="426" t="s">
        <v>911</v>
      </c>
      <c r="H3" s="427"/>
      <c r="I3" s="426" t="s">
        <v>912</v>
      </c>
      <c r="J3" s="426" t="s">
        <v>913</v>
      </c>
      <c r="K3" s="204"/>
      <c r="L3" s="305"/>
    </row>
    <row r="4" spans="1:12">
      <c r="A4" s="428" t="str">
        <f>Application!B726</f>
        <v>SRO/Studio</v>
      </c>
      <c r="B4" s="1077">
        <f>Application!G726</f>
        <v>1</v>
      </c>
      <c r="C4" s="1155"/>
      <c r="D4" s="428">
        <f>Application!O726</f>
        <v>760</v>
      </c>
      <c r="E4" s="429"/>
      <c r="F4" s="1078"/>
      <c r="G4" s="428">
        <f>F4*B4</f>
        <v>0</v>
      </c>
      <c r="H4" s="429"/>
      <c r="I4" s="428" t="str">
        <f t="shared" ref="I4:I27" si="0">IF(F4=0,"",(F4-D4))</f>
        <v/>
      </c>
      <c r="J4" s="428" t="str">
        <f t="shared" ref="J4:J27" si="1">IF(F4=0,"",(I4*B4))</f>
        <v/>
      </c>
      <c r="K4" s="204"/>
      <c r="L4" s="305"/>
    </row>
    <row r="5" spans="1:12">
      <c r="A5" s="428" t="str">
        <f>Application!B727</f>
        <v>SRO/Studio</v>
      </c>
      <c r="B5" s="1077">
        <f>Application!G727</f>
        <v>1</v>
      </c>
      <c r="C5" s="1155"/>
      <c r="D5" s="428">
        <f>Application!O727</f>
        <v>1290</v>
      </c>
      <c r="E5" s="429"/>
      <c r="F5" s="1078"/>
      <c r="G5" s="428">
        <f t="shared" ref="G5:G38" si="2">F5*B5</f>
        <v>0</v>
      </c>
      <c r="H5" s="429"/>
      <c r="I5" s="428" t="str">
        <f t="shared" si="0"/>
        <v/>
      </c>
      <c r="J5" s="428" t="str">
        <f t="shared" si="1"/>
        <v/>
      </c>
      <c r="K5" s="204"/>
      <c r="L5" s="305"/>
    </row>
    <row r="6" spans="1:12">
      <c r="A6" s="428" t="str">
        <f>Application!B728</f>
        <v>SRO/Studio</v>
      </c>
      <c r="B6" s="1077">
        <f>Application!G728</f>
        <v>1</v>
      </c>
      <c r="C6" s="1155"/>
      <c r="D6" s="428">
        <f>Application!O728</f>
        <v>1555</v>
      </c>
      <c r="E6" s="429"/>
      <c r="F6" s="1078"/>
      <c r="G6" s="428">
        <f t="shared" si="2"/>
        <v>0</v>
      </c>
      <c r="H6" s="429"/>
      <c r="I6" s="428" t="str">
        <f t="shared" si="0"/>
        <v/>
      </c>
      <c r="J6" s="428" t="str">
        <f t="shared" si="1"/>
        <v/>
      </c>
      <c r="K6" s="204"/>
      <c r="L6" s="305"/>
    </row>
    <row r="7" spans="1:12">
      <c r="A7" s="428" t="str">
        <f>Application!B729</f>
        <v>SRO/Studio</v>
      </c>
      <c r="B7" s="1077">
        <f>Application!G729</f>
        <v>1</v>
      </c>
      <c r="C7" s="1155"/>
      <c r="D7" s="428">
        <f>Application!O729</f>
        <v>1577</v>
      </c>
      <c r="E7" s="429"/>
      <c r="F7" s="1078"/>
      <c r="G7" s="428">
        <f t="shared" si="2"/>
        <v>0</v>
      </c>
      <c r="H7" s="429"/>
      <c r="I7" s="428" t="str">
        <f t="shared" si="0"/>
        <v/>
      </c>
      <c r="J7" s="428" t="str">
        <f t="shared" si="1"/>
        <v/>
      </c>
      <c r="K7" s="204"/>
      <c r="L7" s="305"/>
    </row>
    <row r="8" spans="1:12">
      <c r="A8" s="428" t="str">
        <f>Application!B730</f>
        <v>1 Bedroom</v>
      </c>
      <c r="B8" s="1077">
        <f>Application!G730</f>
        <v>8</v>
      </c>
      <c r="C8" s="1155"/>
      <c r="D8" s="428">
        <f>Application!O730</f>
        <v>804</v>
      </c>
      <c r="E8" s="429"/>
      <c r="F8" s="1078"/>
      <c r="G8" s="428">
        <f t="shared" si="2"/>
        <v>0</v>
      </c>
      <c r="H8" s="429"/>
      <c r="I8" s="428" t="str">
        <f t="shared" si="0"/>
        <v/>
      </c>
      <c r="J8" s="428" t="str">
        <f t="shared" si="1"/>
        <v/>
      </c>
      <c r="K8" s="204"/>
      <c r="L8" s="305"/>
    </row>
    <row r="9" spans="1:12">
      <c r="A9" s="428" t="str">
        <f>Application!B731</f>
        <v>1 Bedroom</v>
      </c>
      <c r="B9" s="1077">
        <f>Application!G731</f>
        <v>16</v>
      </c>
      <c r="C9" s="1155"/>
      <c r="D9" s="428">
        <f>Application!O731</f>
        <v>1372</v>
      </c>
      <c r="E9" s="429"/>
      <c r="F9" s="1078"/>
      <c r="G9" s="428">
        <f t="shared" si="2"/>
        <v>0</v>
      </c>
      <c r="H9" s="429"/>
      <c r="I9" s="428" t="str">
        <f t="shared" si="0"/>
        <v/>
      </c>
      <c r="J9" s="428" t="str">
        <f t="shared" si="1"/>
        <v/>
      </c>
      <c r="K9" s="204"/>
      <c r="L9" s="305"/>
    </row>
    <row r="10" spans="1:12">
      <c r="A10" s="428" t="str">
        <f>Application!B732</f>
        <v>1 Bedroom</v>
      </c>
      <c r="B10" s="1077">
        <f>Application!G732</f>
        <v>47</v>
      </c>
      <c r="C10" s="1155"/>
      <c r="D10" s="428">
        <f>Application!O732</f>
        <v>1656</v>
      </c>
      <c r="E10" s="429"/>
      <c r="F10" s="1078"/>
      <c r="G10" s="428">
        <f t="shared" si="2"/>
        <v>0</v>
      </c>
      <c r="H10" s="429"/>
      <c r="I10" s="428" t="str">
        <f t="shared" si="0"/>
        <v/>
      </c>
      <c r="J10" s="428" t="str">
        <f t="shared" si="1"/>
        <v/>
      </c>
      <c r="K10" s="204"/>
      <c r="L10" s="305"/>
    </row>
    <row r="11" spans="1:12">
      <c r="A11" s="428" t="str">
        <f>Application!B733</f>
        <v>1 Bedroom</v>
      </c>
      <c r="B11" s="1077">
        <f>Application!G733</f>
        <v>8</v>
      </c>
      <c r="C11" s="1155"/>
      <c r="D11" s="428">
        <f>Application!O733</f>
        <v>1781</v>
      </c>
      <c r="E11" s="429"/>
      <c r="F11" s="1078"/>
      <c r="G11" s="428">
        <f t="shared" si="2"/>
        <v>0</v>
      </c>
      <c r="H11" s="429"/>
      <c r="I11" s="428" t="str">
        <f t="shared" si="0"/>
        <v/>
      </c>
      <c r="J11" s="428" t="str">
        <f t="shared" si="1"/>
        <v/>
      </c>
      <c r="K11" s="204"/>
      <c r="L11" s="305"/>
    </row>
    <row r="12" spans="1:12">
      <c r="A12" s="428" t="str">
        <f>Application!B734</f>
        <v>2 Bedrooms</v>
      </c>
      <c r="B12" s="1077">
        <f>Application!G734</f>
        <v>12</v>
      </c>
      <c r="C12" s="1155"/>
      <c r="D12" s="428">
        <f>Application!O734</f>
        <v>959.8</v>
      </c>
      <c r="E12" s="429"/>
      <c r="F12" s="1078"/>
      <c r="G12" s="428">
        <f t="shared" si="2"/>
        <v>0</v>
      </c>
      <c r="H12" s="429"/>
      <c r="I12" s="428" t="str">
        <f t="shared" si="0"/>
        <v/>
      </c>
      <c r="J12" s="428" t="str">
        <f t="shared" si="1"/>
        <v/>
      </c>
      <c r="K12" s="204"/>
      <c r="L12" s="305"/>
    </row>
    <row r="13" spans="1:12">
      <c r="A13" s="428" t="str">
        <f>Application!B735</f>
        <v>2 Bedrooms</v>
      </c>
      <c r="B13" s="1077">
        <f>Application!G735</f>
        <v>24</v>
      </c>
      <c r="C13" s="1155"/>
      <c r="D13" s="428">
        <f>Application!O735</f>
        <v>1641</v>
      </c>
      <c r="E13" s="429"/>
      <c r="F13" s="1078"/>
      <c r="G13" s="428">
        <f t="shared" si="2"/>
        <v>0</v>
      </c>
      <c r="H13" s="429"/>
      <c r="I13" s="428" t="str">
        <f t="shared" si="0"/>
        <v/>
      </c>
      <c r="J13" s="428" t="str">
        <f t="shared" si="1"/>
        <v/>
      </c>
      <c r="K13" s="204"/>
      <c r="L13" s="305"/>
    </row>
    <row r="14" spans="1:12">
      <c r="A14" s="428" t="str">
        <f>Application!B736</f>
        <v>2 Bedrooms</v>
      </c>
      <c r="B14" s="1077">
        <f>Application!G736</f>
        <v>45</v>
      </c>
      <c r="C14" s="1155"/>
      <c r="D14" s="428">
        <f>Application!O736</f>
        <v>1981.6</v>
      </c>
      <c r="E14" s="429"/>
      <c r="F14" s="1078"/>
      <c r="G14" s="428">
        <f t="shared" si="2"/>
        <v>0</v>
      </c>
      <c r="H14" s="429"/>
      <c r="I14" s="428" t="str">
        <f t="shared" si="0"/>
        <v/>
      </c>
      <c r="J14" s="428" t="str">
        <f t="shared" si="1"/>
        <v/>
      </c>
      <c r="K14" s="204"/>
      <c r="L14" s="305"/>
    </row>
    <row r="15" spans="1:12">
      <c r="A15" s="428" t="str">
        <f>Application!B737</f>
        <v>2 Bedrooms</v>
      </c>
      <c r="B15" s="1077">
        <f>Application!G737</f>
        <v>39</v>
      </c>
      <c r="C15" s="1155"/>
      <c r="D15" s="428">
        <f>Application!O737</f>
        <v>2131.6</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348852</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2203</v>
      </c>
    </row>
    <row r="43" spans="1:12">
      <c r="A43" s="2690" t="s">
        <v>2418</v>
      </c>
      <c r="B43" s="2690"/>
      <c r="C43" s="2690"/>
      <c r="D43" s="2690"/>
      <c r="E43" s="2690"/>
      <c r="F43" s="2690"/>
      <c r="G43" s="2690"/>
      <c r="H43" s="2690"/>
      <c r="I43" s="2690"/>
      <c r="J43" s="2690"/>
    </row>
    <row r="44" spans="1:12">
      <c r="A44" s="2690"/>
      <c r="B44" s="2690"/>
      <c r="C44" s="2690"/>
      <c r="D44" s="2690"/>
      <c r="E44" s="2690"/>
      <c r="F44" s="2690"/>
      <c r="G44" s="2690"/>
      <c r="H44" s="2690"/>
      <c r="I44" s="2690"/>
      <c r="J44" s="2690"/>
    </row>
    <row r="45" spans="1:12">
      <c r="A45" s="2690" t="s">
        <v>2204</v>
      </c>
      <c r="B45" s="2690"/>
      <c r="C45" s="2690"/>
      <c r="D45" s="2690"/>
      <c r="E45" s="2690"/>
      <c r="F45" s="2690"/>
      <c r="G45" s="2690"/>
      <c r="H45" s="2690"/>
      <c r="I45" s="2690"/>
      <c r="J45" s="2690"/>
    </row>
    <row r="46" spans="1:12">
      <c r="A46" s="2690"/>
      <c r="B46" s="2690"/>
      <c r="C46" s="2690"/>
      <c r="D46" s="2690"/>
      <c r="E46" s="2690"/>
      <c r="F46" s="2690"/>
      <c r="G46" s="2690"/>
      <c r="H46" s="2690"/>
      <c r="I46" s="2690"/>
      <c r="J46" s="2690"/>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BK77"/>
  <sheetViews>
    <sheetView topLeftCell="A10" zoomScale="85" zoomScaleNormal="85" workbookViewId="0">
      <selection activeCell="E35" sqref="E35"/>
    </sheetView>
  </sheetViews>
  <sheetFormatPr defaultColWidth="10.42578125"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3" customWidth="1"/>
    <col min="35" max="35" width="11.5703125" bestFit="1" customWidth="1"/>
    <col min="36" max="36" width="3" customWidth="1"/>
    <col min="37" max="37" width="11.5703125" bestFit="1" customWidth="1"/>
    <col min="38" max="38" width="3" customWidth="1"/>
    <col min="39" max="39" width="11.5703125" bestFit="1" customWidth="1"/>
    <col min="40" max="40" width="3" customWidth="1"/>
    <col min="41" max="41" width="11.5703125" bestFit="1" customWidth="1"/>
    <col min="42" max="42" width="3" customWidth="1"/>
    <col min="43" max="43" width="11.5703125" bestFit="1" customWidth="1"/>
    <col min="44" max="44" width="3" customWidth="1"/>
    <col min="45" max="45" width="11.5703125" bestFit="1" customWidth="1"/>
    <col min="46" max="46" width="3" customWidth="1"/>
    <col min="47" max="47" width="11.5703125" bestFit="1" customWidth="1"/>
    <col min="48" max="48" width="3" customWidth="1"/>
    <col min="49" max="49" width="11.5703125" bestFit="1" customWidth="1"/>
    <col min="50" max="50" width="3" customWidth="1"/>
    <col min="51" max="51" width="11.5703125" bestFit="1" customWidth="1"/>
    <col min="52" max="52" width="3" customWidth="1"/>
    <col min="53" max="53" width="11.5703125" bestFit="1" customWidth="1"/>
    <col min="54" max="54" width="3" customWidth="1"/>
    <col min="55" max="55" width="11.5703125" bestFit="1" customWidth="1"/>
    <col min="56" max="56" width="3" customWidth="1"/>
    <col min="57" max="57" width="11.5703125" bestFit="1" customWidth="1"/>
    <col min="58" max="58" width="3" customWidth="1"/>
    <col min="59" max="59" width="11.5703125" bestFit="1" customWidth="1"/>
    <col min="60" max="60" width="3" customWidth="1"/>
    <col min="61" max="61" width="11.5703125" bestFit="1" customWidth="1"/>
    <col min="62" max="62" width="3" customWidth="1"/>
    <col min="63" max="63" width="11.5703125" bestFit="1" customWidth="1"/>
  </cols>
  <sheetData>
    <row r="1" spans="1:63" ht="18">
      <c r="A1" s="211" t="s">
        <v>2047</v>
      </c>
      <c r="B1" s="211"/>
    </row>
    <row r="2" spans="1:63"/>
    <row r="3" spans="1:63"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203"/>
      <c r="AI3" s="236" t="s">
        <v>2716</v>
      </c>
      <c r="AJ3" s="203"/>
      <c r="AK3" s="236" t="s">
        <v>2717</v>
      </c>
      <c r="AL3" s="203"/>
      <c r="AM3" s="236" t="s">
        <v>2718</v>
      </c>
      <c r="AN3" s="203"/>
      <c r="AO3" s="236" t="s">
        <v>2719</v>
      </c>
      <c r="AP3" s="203"/>
      <c r="AQ3" s="236" t="s">
        <v>2720</v>
      </c>
      <c r="AR3" s="203"/>
      <c r="AS3" s="236" t="s">
        <v>2721</v>
      </c>
      <c r="AT3" s="203"/>
      <c r="AU3" s="236" t="s">
        <v>2722</v>
      </c>
      <c r="AV3" s="203"/>
      <c r="AW3" s="236" t="s">
        <v>2723</v>
      </c>
      <c r="AX3" s="203"/>
      <c r="AY3" s="236" t="s">
        <v>2724</v>
      </c>
      <c r="AZ3" s="203"/>
      <c r="BA3" s="236" t="s">
        <v>2725</v>
      </c>
      <c r="BB3" s="203"/>
      <c r="BC3" s="236" t="s">
        <v>2726</v>
      </c>
      <c r="BD3" s="203"/>
      <c r="BE3" s="236" t="s">
        <v>2727</v>
      </c>
      <c r="BF3" s="203"/>
      <c r="BG3" s="236" t="s">
        <v>2728</v>
      </c>
      <c r="BH3" s="203"/>
      <c r="BI3" s="236" t="s">
        <v>2729</v>
      </c>
      <c r="BJ3" s="203"/>
      <c r="BK3" s="236" t="s">
        <v>2730</v>
      </c>
    </row>
    <row r="4" spans="1:63" s="219" customFormat="1" ht="14.25">
      <c r="A4" s="219" t="s">
        <v>836</v>
      </c>
      <c r="C4" s="237">
        <v>1.0249999999999999</v>
      </c>
      <c r="E4" s="219">
        <f>Application!Y809</f>
        <v>4204224</v>
      </c>
      <c r="G4" s="219">
        <f>E4*$C$4</f>
        <v>4309329.5999999996</v>
      </c>
      <c r="I4" s="219">
        <f>G4*$C$4</f>
        <v>4417062.8399999989</v>
      </c>
      <c r="K4" s="219">
        <f>I4*$C$4</f>
        <v>4527489.4109999985</v>
      </c>
      <c r="M4" s="219">
        <f>K4*$C$4</f>
        <v>4640676.6462749979</v>
      </c>
      <c r="O4" s="219">
        <f>M4*$C$4</f>
        <v>4756693.5624318728</v>
      </c>
      <c r="Q4" s="219">
        <f>O4*$C$4</f>
        <v>4875610.9014926692</v>
      </c>
      <c r="S4" s="219">
        <f>Q4*$C$4</f>
        <v>4997501.1740299854</v>
      </c>
      <c r="U4" s="219">
        <f>S4*$C$4</f>
        <v>5122438.7033807347</v>
      </c>
      <c r="W4" s="219">
        <f>U4*$C$4</f>
        <v>5250499.6709652524</v>
      </c>
      <c r="Y4" s="219">
        <f>W4*$C$4</f>
        <v>5381762.1627393831</v>
      </c>
      <c r="AA4" s="219">
        <f>Y4*$C$4</f>
        <v>5516306.2168078674</v>
      </c>
      <c r="AC4" s="219">
        <f>AA4*$C$4</f>
        <v>5654213.8722280636</v>
      </c>
      <c r="AE4" s="219">
        <f>AC4*$C$4</f>
        <v>5795569.2190337647</v>
      </c>
      <c r="AG4" s="219">
        <f>AE4*$C$4</f>
        <v>5940458.4495096086</v>
      </c>
      <c r="AI4" s="219">
        <f t="shared" ref="AI4" si="0">AG4*$C$4</f>
        <v>6088969.9107473483</v>
      </c>
      <c r="AK4" s="219">
        <f t="shared" ref="AK4" si="1">AI4*$C$4</f>
        <v>6241194.1585160317</v>
      </c>
      <c r="AM4" s="219">
        <f t="shared" ref="AM4" si="2">AK4*$C$4</f>
        <v>6397224.0124789318</v>
      </c>
      <c r="AO4" s="219">
        <f t="shared" ref="AO4" si="3">AM4*$C$4</f>
        <v>6557154.6127909049</v>
      </c>
      <c r="AQ4" s="219">
        <f t="shared" ref="AQ4" si="4">AO4*$C$4</f>
        <v>6721083.4781106766</v>
      </c>
      <c r="AS4" s="219">
        <f t="shared" ref="AS4" si="5">AQ4*$C$4</f>
        <v>6889110.565063443</v>
      </c>
      <c r="AU4" s="219">
        <f t="shared" ref="AU4" si="6">AS4*$C$4</f>
        <v>7061338.3291900288</v>
      </c>
      <c r="AW4" s="219">
        <f t="shared" ref="AW4" si="7">AU4*$C$4</f>
        <v>7237871.7874197792</v>
      </c>
      <c r="AY4" s="219">
        <f t="shared" ref="AY4" si="8">AW4*$C$4</f>
        <v>7418818.5821052734</v>
      </c>
      <c r="BA4" s="219">
        <f t="shared" ref="BA4" si="9">AY4*$C$4</f>
        <v>7604289.046657905</v>
      </c>
      <c r="BC4" s="219">
        <f t="shared" ref="BC4" si="10">BA4*$C$4</f>
        <v>7794396.2728243517</v>
      </c>
      <c r="BE4" s="219">
        <f t="shared" ref="BE4" si="11">BC4*$C$4</f>
        <v>7989256.17964496</v>
      </c>
      <c r="BG4" s="219">
        <f t="shared" ref="BG4" si="12">BE4*$C$4</f>
        <v>8188987.5841360837</v>
      </c>
      <c r="BI4" s="219">
        <f t="shared" ref="BI4" si="13">BG4*$C$4</f>
        <v>8393712.2737394851</v>
      </c>
      <c r="BK4" s="219">
        <f t="shared" ref="BK4" si="14">BI4*$C$4</f>
        <v>8603555.0805829708</v>
      </c>
    </row>
    <row r="5" spans="1:63" s="210" customFormat="1" ht="14.25">
      <c r="B5" s="210" t="s">
        <v>837</v>
      </c>
      <c r="C5" s="238">
        <f>IF(Application!$D$211="Special Needs",(((0.1*Application!$T$212)+(0.05*(1-Application!$T$212)))),0.05)</f>
        <v>0.05</v>
      </c>
      <c r="E5" s="221">
        <f>-E4*$C$5</f>
        <v>-210211.20000000001</v>
      </c>
      <c r="F5" s="221"/>
      <c r="G5" s="221">
        <f>-G4*$C$5</f>
        <v>-215466.47999999998</v>
      </c>
      <c r="H5" s="221"/>
      <c r="I5" s="221">
        <f>-I4*$C$5</f>
        <v>-220853.14199999996</v>
      </c>
      <c r="J5" s="221"/>
      <c r="K5" s="221">
        <f>-K4*$C$5</f>
        <v>-226374.47054999994</v>
      </c>
      <c r="L5" s="221"/>
      <c r="M5" s="221">
        <f>-M4*$C$5</f>
        <v>-232033.83231374991</v>
      </c>
      <c r="N5" s="221"/>
      <c r="O5" s="221">
        <f>-O4*$C$5</f>
        <v>-237834.67812159366</v>
      </c>
      <c r="P5" s="221"/>
      <c r="Q5" s="221">
        <f>-Q4*$C$5</f>
        <v>-243780.54507463347</v>
      </c>
      <c r="R5" s="221"/>
      <c r="S5" s="221">
        <f>-S4*$C$5</f>
        <v>-249875.05870149928</v>
      </c>
      <c r="T5" s="221"/>
      <c r="U5" s="221">
        <f>-U4*$C$5</f>
        <v>-256121.93516903673</v>
      </c>
      <c r="V5" s="221"/>
      <c r="W5" s="221">
        <f>-W4*$C$5</f>
        <v>-262524.98354826262</v>
      </c>
      <c r="X5" s="221"/>
      <c r="Y5" s="221">
        <f>-Y4*$C$5</f>
        <v>-269088.10813696915</v>
      </c>
      <c r="Z5" s="221"/>
      <c r="AA5" s="221">
        <f>-AA4*$C$5</f>
        <v>-275815.31084039336</v>
      </c>
      <c r="AB5" s="221"/>
      <c r="AC5" s="221">
        <f>-AC4*$C$5</f>
        <v>-282710.69361140317</v>
      </c>
      <c r="AD5" s="221"/>
      <c r="AE5" s="221">
        <f>-AE4*$C$5</f>
        <v>-289778.46095168823</v>
      </c>
      <c r="AF5" s="221"/>
      <c r="AG5" s="221">
        <f>-AG4*$C$5</f>
        <v>-297022.92247548042</v>
      </c>
      <c r="AH5" s="221"/>
      <c r="AI5" s="221">
        <f t="shared" ref="AI5" si="15">-AI4*$C$5</f>
        <v>-304448.49553736742</v>
      </c>
      <c r="AJ5" s="221"/>
      <c r="AK5" s="221">
        <f t="shared" ref="AK5" si="16">-AK4*$C$5</f>
        <v>-312059.70792580157</v>
      </c>
      <c r="AL5" s="221"/>
      <c r="AM5" s="221">
        <f t="shared" ref="AM5" si="17">-AM4*$C$5</f>
        <v>-319861.20062394661</v>
      </c>
      <c r="AN5" s="221"/>
      <c r="AO5" s="221">
        <f t="shared" ref="AO5" si="18">-AO4*$C$5</f>
        <v>-327857.73063954525</v>
      </c>
      <c r="AP5" s="221"/>
      <c r="AQ5" s="221">
        <f t="shared" ref="AQ5" si="19">-AQ4*$C$5</f>
        <v>-336054.17390553385</v>
      </c>
      <c r="AR5" s="221"/>
      <c r="AS5" s="221">
        <f t="shared" ref="AS5" si="20">-AS4*$C$5</f>
        <v>-344455.52825317218</v>
      </c>
      <c r="AT5" s="221"/>
      <c r="AU5" s="221">
        <f t="shared" ref="AU5" si="21">-AU4*$C$5</f>
        <v>-353066.91645950149</v>
      </c>
      <c r="AV5" s="221"/>
      <c r="AW5" s="221">
        <f t="shared" ref="AW5" si="22">-AW4*$C$5</f>
        <v>-361893.58937098901</v>
      </c>
      <c r="AX5" s="221"/>
      <c r="AY5" s="221">
        <f t="shared" ref="AY5" si="23">-AY4*$C$5</f>
        <v>-370940.92910526367</v>
      </c>
      <c r="AZ5" s="221"/>
      <c r="BA5" s="221">
        <f t="shared" ref="BA5" si="24">-BA4*$C$5</f>
        <v>-380214.45233289525</v>
      </c>
      <c r="BB5" s="221"/>
      <c r="BC5" s="221">
        <f t="shared" ref="BC5" si="25">-BC4*$C$5</f>
        <v>-389719.8136412176</v>
      </c>
      <c r="BD5" s="221"/>
      <c r="BE5" s="221">
        <f t="shared" ref="BE5" si="26">-BE4*$C$5</f>
        <v>-399462.80898224801</v>
      </c>
      <c r="BF5" s="221"/>
      <c r="BG5" s="221">
        <f t="shared" ref="BG5" si="27">-BG4*$C$5</f>
        <v>-409449.37920680421</v>
      </c>
      <c r="BH5" s="221"/>
      <c r="BI5" s="221">
        <f t="shared" ref="BI5" si="28">-BI4*$C$5</f>
        <v>-419685.61368697428</v>
      </c>
      <c r="BJ5" s="221"/>
      <c r="BK5" s="221">
        <f t="shared" ref="BK5" si="29">-BK4*$C$5</f>
        <v>-430177.75402914855</v>
      </c>
    </row>
    <row r="6" spans="1:63" s="210" customFormat="1" ht="14.25">
      <c r="A6" s="210" t="s">
        <v>835</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c r="AH6" s="222"/>
      <c r="AI6" s="222">
        <f t="shared" ref="AI6" si="30">AG6*$C$6</f>
        <v>0</v>
      </c>
      <c r="AJ6" s="222"/>
      <c r="AK6" s="222">
        <f t="shared" ref="AK6" si="31">AI6*$C$6</f>
        <v>0</v>
      </c>
      <c r="AL6" s="222"/>
      <c r="AM6" s="222">
        <f t="shared" ref="AM6" si="32">AK6*$C$6</f>
        <v>0</v>
      </c>
      <c r="AN6" s="222"/>
      <c r="AO6" s="222">
        <f t="shared" ref="AO6" si="33">AM6*$C$6</f>
        <v>0</v>
      </c>
      <c r="AP6" s="222"/>
      <c r="AQ6" s="222">
        <f t="shared" ref="AQ6" si="34">AO6*$C$6</f>
        <v>0</v>
      </c>
      <c r="AR6" s="222"/>
      <c r="AS6" s="222">
        <f t="shared" ref="AS6" si="35">AQ6*$C$6</f>
        <v>0</v>
      </c>
      <c r="AT6" s="222"/>
      <c r="AU6" s="222">
        <f t="shared" ref="AU6" si="36">AS6*$C$6</f>
        <v>0</v>
      </c>
      <c r="AV6" s="222"/>
      <c r="AW6" s="222">
        <f t="shared" ref="AW6" si="37">AU6*$C$6</f>
        <v>0</v>
      </c>
      <c r="AX6" s="222"/>
      <c r="AY6" s="222">
        <f t="shared" ref="AY6" si="38">AW6*$C$6</f>
        <v>0</v>
      </c>
      <c r="AZ6" s="222"/>
      <c r="BA6" s="222">
        <f t="shared" ref="BA6" si="39">AY6*$C$6</f>
        <v>0</v>
      </c>
      <c r="BB6" s="222"/>
      <c r="BC6" s="222">
        <f t="shared" ref="BC6" si="40">BA6*$C$6</f>
        <v>0</v>
      </c>
      <c r="BD6" s="222"/>
      <c r="BE6" s="222">
        <f t="shared" ref="BE6" si="41">BC6*$C$6</f>
        <v>0</v>
      </c>
      <c r="BF6" s="222"/>
      <c r="BG6" s="222">
        <f t="shared" ref="BG6" si="42">BE6*$C$6</f>
        <v>0</v>
      </c>
      <c r="BH6" s="222"/>
      <c r="BI6" s="222">
        <f t="shared" ref="BI6" si="43">BG6*$C$6</f>
        <v>0</v>
      </c>
      <c r="BJ6" s="222"/>
      <c r="BK6" s="222">
        <f t="shared" ref="BK6" si="44">BI6*$C$6</f>
        <v>0</v>
      </c>
    </row>
    <row r="7" spans="1:63"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c r="AH7" s="221"/>
      <c r="AI7" s="221">
        <f t="shared" ref="AI7" si="45">-AI6*$C$7</f>
        <v>0</v>
      </c>
      <c r="AJ7" s="221"/>
      <c r="AK7" s="221">
        <f t="shared" ref="AK7" si="46">-AK6*$C$7</f>
        <v>0</v>
      </c>
      <c r="AL7" s="221"/>
      <c r="AM7" s="221">
        <f t="shared" ref="AM7" si="47">-AM6*$C$7</f>
        <v>0</v>
      </c>
      <c r="AN7" s="221"/>
      <c r="AO7" s="221">
        <f t="shared" ref="AO7" si="48">-AO6*$C$7</f>
        <v>0</v>
      </c>
      <c r="AP7" s="221"/>
      <c r="AQ7" s="221">
        <f t="shared" ref="AQ7" si="49">-AQ6*$C$7</f>
        <v>0</v>
      </c>
      <c r="AR7" s="221"/>
      <c r="AS7" s="221">
        <f t="shared" ref="AS7" si="50">-AS6*$C$7</f>
        <v>0</v>
      </c>
      <c r="AT7" s="221"/>
      <c r="AU7" s="221">
        <f t="shared" ref="AU7" si="51">-AU6*$C$7</f>
        <v>0</v>
      </c>
      <c r="AV7" s="221"/>
      <c r="AW7" s="221">
        <f t="shared" ref="AW7" si="52">-AW6*$C$7</f>
        <v>0</v>
      </c>
      <c r="AX7" s="221"/>
      <c r="AY7" s="221">
        <f t="shared" ref="AY7" si="53">-AY6*$C$7</f>
        <v>0</v>
      </c>
      <c r="AZ7" s="221"/>
      <c r="BA7" s="221">
        <f t="shared" ref="BA7" si="54">-BA6*$C$7</f>
        <v>0</v>
      </c>
      <c r="BB7" s="221"/>
      <c r="BC7" s="221">
        <f t="shared" ref="BC7" si="55">-BC6*$C$7</f>
        <v>0</v>
      </c>
      <c r="BD7" s="221"/>
      <c r="BE7" s="221">
        <f t="shared" ref="BE7" si="56">-BE6*$C$7</f>
        <v>0</v>
      </c>
      <c r="BF7" s="221"/>
      <c r="BG7" s="221">
        <f t="shared" ref="BG7" si="57">-BG6*$C$7</f>
        <v>0</v>
      </c>
      <c r="BH7" s="221"/>
      <c r="BI7" s="221">
        <f t="shared" ref="BI7" si="58">-BI6*$C$7</f>
        <v>0</v>
      </c>
      <c r="BJ7" s="221"/>
      <c r="BK7" s="221">
        <f t="shared" ref="BK7" si="59">-BK6*$C$7</f>
        <v>0</v>
      </c>
    </row>
    <row r="8" spans="1:63" s="210" customFormat="1" ht="14.25">
      <c r="A8" s="210" t="s">
        <v>288</v>
      </c>
      <c r="C8" s="237">
        <v>1.0249999999999999</v>
      </c>
      <c r="E8" s="222">
        <f>Application!Z825</f>
        <v>137700</v>
      </c>
      <c r="F8" s="222"/>
      <c r="G8" s="222">
        <f>E8*$C$8</f>
        <v>141142.5</v>
      </c>
      <c r="H8" s="222"/>
      <c r="I8" s="222">
        <f>G8*$C$8</f>
        <v>144671.0625</v>
      </c>
      <c r="J8" s="222"/>
      <c r="K8" s="222">
        <f>I8*$C$8</f>
        <v>148287.83906249999</v>
      </c>
      <c r="L8" s="222"/>
      <c r="M8" s="222">
        <f>K8*$C$8</f>
        <v>151995.03503906247</v>
      </c>
      <c r="N8" s="222"/>
      <c r="O8" s="222">
        <f>M8*$C$8</f>
        <v>155794.91091503901</v>
      </c>
      <c r="P8" s="222"/>
      <c r="Q8" s="222">
        <f>O8*$C$8</f>
        <v>159689.78368791498</v>
      </c>
      <c r="R8" s="222"/>
      <c r="S8" s="222">
        <f>Q8*$C$8</f>
        <v>163682.02828011283</v>
      </c>
      <c r="T8" s="222"/>
      <c r="U8" s="222">
        <f>S8*$C$8</f>
        <v>167774.07898711564</v>
      </c>
      <c r="V8" s="222"/>
      <c r="W8" s="222">
        <f>U8*$C$8</f>
        <v>171968.43096179352</v>
      </c>
      <c r="X8" s="222"/>
      <c r="Y8" s="222">
        <f>W8*$C$8</f>
        <v>176267.64173583835</v>
      </c>
      <c r="Z8" s="222"/>
      <c r="AA8" s="222">
        <f>Y8*$C$8</f>
        <v>180674.3327792343</v>
      </c>
      <c r="AB8" s="222"/>
      <c r="AC8" s="222">
        <f>AA8*$C$8</f>
        <v>185191.19109871515</v>
      </c>
      <c r="AD8" s="222"/>
      <c r="AE8" s="222">
        <f>AC8*$C$8</f>
        <v>189820.97087618301</v>
      </c>
      <c r="AF8" s="222"/>
      <c r="AG8" s="222">
        <f>AE8*$C$8</f>
        <v>194566.49514808756</v>
      </c>
      <c r="AH8" s="222"/>
      <c r="AI8" s="222">
        <f t="shared" ref="AI8" si="60">AG8*$C$8</f>
        <v>199430.65752678973</v>
      </c>
      <c r="AJ8" s="222"/>
      <c r="AK8" s="222">
        <f t="shared" ref="AK8" si="61">AI8*$C$8</f>
        <v>204416.42396495945</v>
      </c>
      <c r="AL8" s="222"/>
      <c r="AM8" s="222">
        <f t="shared" ref="AM8" si="62">AK8*$C$8</f>
        <v>209526.83456408343</v>
      </c>
      <c r="AN8" s="222"/>
      <c r="AO8" s="222">
        <f t="shared" ref="AO8" si="63">AM8*$C$8</f>
        <v>214765.00542818551</v>
      </c>
      <c r="AP8" s="222"/>
      <c r="AQ8" s="222">
        <f t="shared" ref="AQ8" si="64">AO8*$C$8</f>
        <v>220134.13056389012</v>
      </c>
      <c r="AR8" s="222"/>
      <c r="AS8" s="222">
        <f t="shared" ref="AS8" si="65">AQ8*$C$8</f>
        <v>225637.48382798737</v>
      </c>
      <c r="AT8" s="222"/>
      <c r="AU8" s="222">
        <f t="shared" ref="AU8" si="66">AS8*$C$8</f>
        <v>231278.42092368702</v>
      </c>
      <c r="AV8" s="222"/>
      <c r="AW8" s="222">
        <f t="shared" ref="AW8" si="67">AU8*$C$8</f>
        <v>237060.38144677918</v>
      </c>
      <c r="AX8" s="222"/>
      <c r="AY8" s="222">
        <f t="shared" ref="AY8" si="68">AW8*$C$8</f>
        <v>242986.89098294865</v>
      </c>
      <c r="AZ8" s="222"/>
      <c r="BA8" s="222">
        <f t="shared" ref="BA8" si="69">AY8*$C$8</f>
        <v>249061.56325752236</v>
      </c>
      <c r="BB8" s="222"/>
      <c r="BC8" s="222">
        <f t="shared" ref="BC8" si="70">BA8*$C$8</f>
        <v>255288.10233896039</v>
      </c>
      <c r="BD8" s="222"/>
      <c r="BE8" s="222">
        <f t="shared" ref="BE8" si="71">BC8*$C$8</f>
        <v>261670.30489743437</v>
      </c>
      <c r="BF8" s="222"/>
      <c r="BG8" s="222">
        <f t="shared" ref="BG8" si="72">BE8*$C$8</f>
        <v>268212.06251987023</v>
      </c>
      <c r="BH8" s="222"/>
      <c r="BI8" s="222">
        <f t="shared" ref="BI8" si="73">BG8*$C$8</f>
        <v>274917.36408286699</v>
      </c>
      <c r="BJ8" s="222"/>
      <c r="BK8" s="222">
        <f t="shared" ref="BK8" si="74">BI8*$C$8</f>
        <v>281790.29818493861</v>
      </c>
    </row>
    <row r="9" spans="1:63" s="210" customFormat="1" ht="14.25">
      <c r="B9" s="210" t="s">
        <v>837</v>
      </c>
      <c r="C9" s="238">
        <f>IF(Application!$D$211="Special Needs",(((0.1*Application!$T$212)+(0.05*(1-Application!$T$212)))),0.05)</f>
        <v>0.05</v>
      </c>
      <c r="E9" s="221">
        <f>-E8*$C$9</f>
        <v>-6885</v>
      </c>
      <c r="F9" s="221"/>
      <c r="G9" s="221">
        <f>-G8*$C$9</f>
        <v>-7057.125</v>
      </c>
      <c r="H9" s="221"/>
      <c r="I9" s="221">
        <f>-I8*$C$9</f>
        <v>-7233.5531250000004</v>
      </c>
      <c r="J9" s="221"/>
      <c r="K9" s="221">
        <f>-K8*$C$9</f>
        <v>-7414.3919531249994</v>
      </c>
      <c r="L9" s="221"/>
      <c r="M9" s="221">
        <f>-M8*$C$9</f>
        <v>-7599.7517519531239</v>
      </c>
      <c r="N9" s="221"/>
      <c r="O9" s="221">
        <f>-O8*$C$9</f>
        <v>-7789.7455457519509</v>
      </c>
      <c r="P9" s="221"/>
      <c r="Q9" s="221">
        <f>-Q8*$C$9</f>
        <v>-7984.4891843957494</v>
      </c>
      <c r="R9" s="221"/>
      <c r="S9" s="221">
        <f>-S8*$C$9</f>
        <v>-8184.1014140056423</v>
      </c>
      <c r="T9" s="221"/>
      <c r="U9" s="221">
        <f>-U8*$C$9</f>
        <v>-8388.7039493557822</v>
      </c>
      <c r="V9" s="221"/>
      <c r="W9" s="221">
        <f>-W8*$C$9</f>
        <v>-8598.4215480896764</v>
      </c>
      <c r="X9" s="221"/>
      <c r="Y9" s="221">
        <f>-Y8*$C$9</f>
        <v>-8813.3820867919185</v>
      </c>
      <c r="Z9" s="221"/>
      <c r="AA9" s="221">
        <f>-AA8*$C$9</f>
        <v>-9033.7166389617159</v>
      </c>
      <c r="AB9" s="221"/>
      <c r="AC9" s="221">
        <f>-AC8*$C$9</f>
        <v>-9259.5595549357586</v>
      </c>
      <c r="AD9" s="221"/>
      <c r="AE9" s="221">
        <f>-AE8*$C$9</f>
        <v>-9491.0485438091509</v>
      </c>
      <c r="AF9" s="221"/>
      <c r="AG9" s="221">
        <f>-AG8*$C$9</f>
        <v>-9728.324757404378</v>
      </c>
      <c r="AH9" s="221"/>
      <c r="AI9" s="221">
        <f t="shared" ref="AI9" si="75">-AI8*$C$9</f>
        <v>-9971.5328763394864</v>
      </c>
      <c r="AJ9" s="221"/>
      <c r="AK9" s="221">
        <f t="shared" ref="AK9" si="76">-AK8*$C$9</f>
        <v>-10220.821198247973</v>
      </c>
      <c r="AL9" s="221"/>
      <c r="AM9" s="221">
        <f t="shared" ref="AM9" si="77">-AM8*$C$9</f>
        <v>-10476.341728204172</v>
      </c>
      <c r="AN9" s="221"/>
      <c r="AO9" s="221">
        <f t="shared" ref="AO9" si="78">-AO8*$C$9</f>
        <v>-10738.250271409277</v>
      </c>
      <c r="AP9" s="221"/>
      <c r="AQ9" s="221">
        <f t="shared" ref="AQ9" si="79">-AQ8*$C$9</f>
        <v>-11006.706528194507</v>
      </c>
      <c r="AR9" s="221"/>
      <c r="AS9" s="221">
        <f t="shared" ref="AS9" si="80">-AS8*$C$9</f>
        <v>-11281.874191399369</v>
      </c>
      <c r="AT9" s="221"/>
      <c r="AU9" s="221">
        <f t="shared" ref="AU9" si="81">-AU8*$C$9</f>
        <v>-11563.921046184352</v>
      </c>
      <c r="AV9" s="221"/>
      <c r="AW9" s="221">
        <f t="shared" ref="AW9" si="82">-AW8*$C$9</f>
        <v>-11853.019072338961</v>
      </c>
      <c r="AX9" s="221"/>
      <c r="AY9" s="221">
        <f t="shared" ref="AY9" si="83">-AY8*$C$9</f>
        <v>-12149.344549147434</v>
      </c>
      <c r="AZ9" s="221"/>
      <c r="BA9" s="221">
        <f t="shared" ref="BA9" si="84">-BA8*$C$9</f>
        <v>-12453.078162876118</v>
      </c>
      <c r="BB9" s="221"/>
      <c r="BC9" s="221">
        <f t="shared" ref="BC9" si="85">-BC8*$C$9</f>
        <v>-12764.405116948021</v>
      </c>
      <c r="BD9" s="221"/>
      <c r="BE9" s="221">
        <f t="shared" ref="BE9" si="86">-BE8*$C$9</f>
        <v>-13083.51524487172</v>
      </c>
      <c r="BF9" s="221"/>
      <c r="BG9" s="221">
        <f t="shared" ref="BG9" si="87">-BG8*$C$9</f>
        <v>-13410.603125993512</v>
      </c>
      <c r="BH9" s="221"/>
      <c r="BI9" s="221">
        <f t="shared" ref="BI9" si="88">-BI8*$C$9</f>
        <v>-13745.868204143349</v>
      </c>
      <c r="BJ9" s="221"/>
      <c r="BK9" s="221">
        <f t="shared" ref="BK9" si="89">-BK8*$C$9</f>
        <v>-14089.514909246931</v>
      </c>
    </row>
    <row r="10" spans="1:63" s="210" customFormat="1" ht="14.25">
      <c r="A10" s="1137" t="s">
        <v>2175</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c r="AH10" s="222"/>
      <c r="AI10" s="1138"/>
      <c r="AJ10" s="222"/>
      <c r="AK10" s="1138"/>
      <c r="AL10" s="222"/>
      <c r="AM10" s="1138"/>
      <c r="AN10" s="222"/>
      <c r="AO10" s="1138"/>
      <c r="AP10" s="222"/>
      <c r="AQ10" s="1138"/>
      <c r="AR10" s="222"/>
      <c r="AS10" s="1138"/>
      <c r="AT10" s="222"/>
      <c r="AU10" s="1138"/>
      <c r="AV10" s="222"/>
      <c r="AW10" s="1138"/>
      <c r="AX10" s="222"/>
      <c r="AY10" s="1138"/>
      <c r="AZ10" s="222"/>
      <c r="BA10" s="1138"/>
      <c r="BB10" s="222"/>
      <c r="BC10" s="1138"/>
      <c r="BD10" s="222"/>
      <c r="BE10" s="1138"/>
      <c r="BF10" s="222"/>
      <c r="BG10" s="1138"/>
      <c r="BH10" s="222"/>
      <c r="BI10" s="1138"/>
      <c r="BJ10" s="222"/>
      <c r="BK10" s="1138"/>
    </row>
    <row r="11" spans="1:63" s="223" customFormat="1" ht="15">
      <c r="A11" s="223" t="s">
        <v>858</v>
      </c>
      <c r="C11" s="216"/>
      <c r="E11" s="223">
        <f>SUM(E4:E10)</f>
        <v>4124827.8</v>
      </c>
      <c r="G11" s="223">
        <f>SUM(G4:G10)</f>
        <v>4227948.4949999992</v>
      </c>
      <c r="I11" s="223">
        <f>SUM(I4:I10)</f>
        <v>4333647.2073749993</v>
      </c>
      <c r="K11" s="223">
        <f>SUM(K4:K10)</f>
        <v>4441988.3875593739</v>
      </c>
      <c r="M11" s="223">
        <f>SUM(M4:M10)</f>
        <v>4553038.0972483577</v>
      </c>
      <c r="O11" s="223">
        <f>SUM(O4:O10)</f>
        <v>4666864.0496795662</v>
      </c>
      <c r="Q11" s="223">
        <f>SUM(Q4:Q10)</f>
        <v>4783535.6509215552</v>
      </c>
      <c r="S11" s="223">
        <f>SUM(S4:S10)</f>
        <v>4903124.0421945937</v>
      </c>
      <c r="U11" s="223">
        <f>SUM(U4:U10)</f>
        <v>5025702.1432494586</v>
      </c>
      <c r="W11" s="223">
        <f>SUM(W4:W10)</f>
        <v>5151344.6968306927</v>
      </c>
      <c r="Y11" s="223">
        <f>SUM(Y4:Y10)</f>
        <v>5280128.3142514611</v>
      </c>
      <c r="AA11" s="223">
        <f>SUM(AA4:AA10)</f>
        <v>5412131.5221077465</v>
      </c>
      <c r="AC11" s="223">
        <f>SUM(AC4:AC10)</f>
        <v>5547434.8101604404</v>
      </c>
      <c r="AE11" s="223">
        <f>SUM(AE4:AE10)</f>
        <v>5686120.6804144513</v>
      </c>
      <c r="AG11" s="223">
        <f>SUM(AG4:AG10)</f>
        <v>5828273.6974248113</v>
      </c>
      <c r="AI11" s="223">
        <f t="shared" ref="AI11" si="90">SUM(AI4:AI10)</f>
        <v>5973980.5398604311</v>
      </c>
      <c r="AK11" s="223">
        <f t="shared" ref="AK11" si="91">SUM(AK4:AK10)</f>
        <v>6123330.0533569418</v>
      </c>
      <c r="AM11" s="223">
        <f t="shared" ref="AM11" si="92">SUM(AM4:AM10)</f>
        <v>6276413.3046908649</v>
      </c>
      <c r="AO11" s="223">
        <f t="shared" ref="AO11" si="93">SUM(AO4:AO10)</f>
        <v>6433323.6373081366</v>
      </c>
      <c r="AQ11" s="223">
        <f t="shared" ref="AQ11" si="94">SUM(AQ4:AQ10)</f>
        <v>6594156.7282408392</v>
      </c>
      <c r="AS11" s="223">
        <f t="shared" ref="AS11" si="95">SUM(AS4:AS10)</f>
        <v>6759010.6464468585</v>
      </c>
      <c r="AU11" s="223">
        <f t="shared" ref="AU11" si="96">SUM(AU4:AU10)</f>
        <v>6927985.9126080293</v>
      </c>
      <c r="AW11" s="223">
        <f t="shared" ref="AW11" si="97">SUM(AW4:AW10)</f>
        <v>7101185.5604232298</v>
      </c>
      <c r="AY11" s="223">
        <f t="shared" ref="AY11" si="98">SUM(AY4:AY10)</f>
        <v>7278715.199433811</v>
      </c>
      <c r="BA11" s="223">
        <f t="shared" ref="BA11" si="99">SUM(BA4:BA10)</f>
        <v>7460683.0794196557</v>
      </c>
      <c r="BC11" s="223">
        <f t="shared" ref="BC11" si="100">SUM(BC4:BC10)</f>
        <v>7647200.1564051462</v>
      </c>
      <c r="BE11" s="223">
        <f t="shared" ref="BE11" si="101">SUM(BE4:BE10)</f>
        <v>7838380.1603152743</v>
      </c>
      <c r="BG11" s="223">
        <f t="shared" ref="BG11" si="102">SUM(BG4:BG10)</f>
        <v>8034339.6643231567</v>
      </c>
      <c r="BI11" s="223">
        <f t="shared" ref="BI11" si="103">SUM(BI4:BI10)</f>
        <v>8235198.1559312353</v>
      </c>
      <c r="BK11" s="223">
        <f t="shared" ref="BK11" si="104">SUM(BK4:BK10)</f>
        <v>8441078.1098295134</v>
      </c>
    </row>
    <row r="12" spans="1:63">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row>
    <row r="13" spans="1:63"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row>
    <row r="14" spans="1:63"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row>
    <row r="15" spans="1:63" s="219" customFormat="1" ht="14.25">
      <c r="A15" s="219" t="s">
        <v>840</v>
      </c>
      <c r="C15" s="176"/>
      <c r="E15" s="219">
        <f>Application!W855</f>
        <v>236611</v>
      </c>
      <c r="G15" s="219">
        <f>E15*$C$14</f>
        <v>244892.38499999998</v>
      </c>
      <c r="I15" s="219">
        <f>G15*$C$14</f>
        <v>253463.61847499997</v>
      </c>
      <c r="K15" s="219">
        <f>I15*$C$14</f>
        <v>262334.84512162494</v>
      </c>
      <c r="M15" s="219">
        <f>K15*$C$14</f>
        <v>271516.56470088178</v>
      </c>
      <c r="O15" s="219">
        <f>M15*$C$14</f>
        <v>281019.6444654126</v>
      </c>
      <c r="Q15" s="219">
        <f>O15*$C$14</f>
        <v>290855.33202170202</v>
      </c>
      <c r="S15" s="219">
        <f>Q15*$C$14</f>
        <v>301035.26864246157</v>
      </c>
      <c r="U15" s="219">
        <f>S15*$C$14</f>
        <v>311571.50304494769</v>
      </c>
      <c r="W15" s="219">
        <f>U15*$C$14</f>
        <v>322476.50565152086</v>
      </c>
      <c r="Y15" s="219">
        <f>W15*$C$14</f>
        <v>333763.18334932404</v>
      </c>
      <c r="AA15" s="219">
        <f>Y15*$C$14</f>
        <v>345444.89476655034</v>
      </c>
      <c r="AC15" s="219">
        <f>AA15*$C$14</f>
        <v>357535.46608337958</v>
      </c>
      <c r="AE15" s="219">
        <f>AC15*$C$14</f>
        <v>370049.20739629783</v>
      </c>
      <c r="AG15" s="219">
        <f t="shared" ref="AG15:AG21" si="105">AE15*$C$14</f>
        <v>383000.92965516821</v>
      </c>
      <c r="AI15" s="219">
        <f t="shared" ref="AI15:AI21" si="106">AG15*$C$14</f>
        <v>396405.96219309908</v>
      </c>
      <c r="AK15" s="219">
        <f t="shared" ref="AK15:AK21" si="107">AI15*$C$14</f>
        <v>410280.17086985754</v>
      </c>
      <c r="AM15" s="219">
        <f t="shared" ref="AM15:AM21" si="108">AK15*$C$14</f>
        <v>424639.97685030254</v>
      </c>
      <c r="AO15" s="219">
        <f t="shared" ref="AO15:AO21" si="109">AM15*$C$14</f>
        <v>439502.3760400631</v>
      </c>
      <c r="AQ15" s="219">
        <f t="shared" ref="AQ15:AQ21" si="110">AO15*$C$14</f>
        <v>454884.95920146524</v>
      </c>
      <c r="AS15" s="219">
        <f t="shared" ref="AS15:AS21" si="111">AQ15*$C$14</f>
        <v>470805.93277351651</v>
      </c>
      <c r="AU15" s="219">
        <f t="shared" ref="AU15:AU21" si="112">AS15*$C$14</f>
        <v>487284.14042058954</v>
      </c>
      <c r="AW15" s="219">
        <f t="shared" ref="AW15:AW21" si="113">AU15*$C$14</f>
        <v>504339.08533531014</v>
      </c>
      <c r="AY15" s="219">
        <f t="shared" ref="AY15:AY21" si="114">AW15*$C$14</f>
        <v>521990.95332204597</v>
      </c>
      <c r="BA15" s="219">
        <f t="shared" ref="BA15:BA21" si="115">AY15*$C$14</f>
        <v>540260.63668831752</v>
      </c>
      <c r="BC15" s="219">
        <f t="shared" ref="BC15:BC21" si="116">BA15*$C$14</f>
        <v>559169.7589724086</v>
      </c>
      <c r="BE15" s="219">
        <f t="shared" ref="BE15:BE21" si="117">BC15*$C$14</f>
        <v>578740.7005364428</v>
      </c>
      <c r="BG15" s="219">
        <f t="shared" ref="BG15:BG21" si="118">BE15*$C$14</f>
        <v>598996.62505521823</v>
      </c>
      <c r="BI15" s="219">
        <f t="shared" ref="BI15:BI21" si="119">BG15*$C$14</f>
        <v>619961.50693215081</v>
      </c>
      <c r="BK15" s="219">
        <f t="shared" ref="BK15:BK21" si="120">BI15*$C$14</f>
        <v>641660.15967477602</v>
      </c>
    </row>
    <row r="16" spans="1:63" s="210" customFormat="1" ht="14.25">
      <c r="A16" s="210" t="s">
        <v>344</v>
      </c>
      <c r="C16" s="233"/>
      <c r="E16" s="222">
        <f>Application!W857</f>
        <v>189372</v>
      </c>
      <c r="F16" s="222"/>
      <c r="G16" s="222">
        <f t="shared" ref="G16:AE21" si="121">E16*$C$14</f>
        <v>196000.02</v>
      </c>
      <c r="H16" s="222"/>
      <c r="I16" s="222">
        <f t="shared" si="121"/>
        <v>202860.02069999996</v>
      </c>
      <c r="J16" s="222"/>
      <c r="K16" s="222">
        <f t="shared" si="121"/>
        <v>209960.12142449996</v>
      </c>
      <c r="L16" s="222"/>
      <c r="M16" s="222">
        <f t="shared" si="121"/>
        <v>217308.72567435744</v>
      </c>
      <c r="N16" s="222"/>
      <c r="O16" s="222">
        <f t="shared" si="121"/>
        <v>224914.53107295994</v>
      </c>
      <c r="P16" s="222"/>
      <c r="Q16" s="222">
        <f t="shared" si="121"/>
        <v>232786.53966051352</v>
      </c>
      <c r="R16" s="222"/>
      <c r="S16" s="222">
        <f t="shared" si="121"/>
        <v>240934.06854863148</v>
      </c>
      <c r="T16" s="222"/>
      <c r="U16" s="222">
        <f t="shared" si="121"/>
        <v>249366.76094783357</v>
      </c>
      <c r="V16" s="222"/>
      <c r="W16" s="222">
        <f t="shared" si="121"/>
        <v>258094.59758100772</v>
      </c>
      <c r="X16" s="222"/>
      <c r="Y16" s="222">
        <f t="shared" si="121"/>
        <v>267127.90849634295</v>
      </c>
      <c r="Z16" s="222"/>
      <c r="AA16" s="222">
        <f t="shared" si="121"/>
        <v>276477.38529371493</v>
      </c>
      <c r="AB16" s="222"/>
      <c r="AC16" s="222">
        <f t="shared" si="121"/>
        <v>286154.09377899492</v>
      </c>
      <c r="AD16" s="222"/>
      <c r="AE16" s="222">
        <f t="shared" si="121"/>
        <v>296169.48706125974</v>
      </c>
      <c r="AF16" s="222"/>
      <c r="AG16" s="222">
        <f t="shared" si="105"/>
        <v>306535.41910840379</v>
      </c>
      <c r="AH16" s="222"/>
      <c r="AI16" s="222">
        <f t="shared" si="106"/>
        <v>317264.15877719788</v>
      </c>
      <c r="AJ16" s="222"/>
      <c r="AK16" s="222">
        <f t="shared" si="107"/>
        <v>328368.40433439979</v>
      </c>
      <c r="AL16" s="222"/>
      <c r="AM16" s="222">
        <f t="shared" si="108"/>
        <v>339861.29848610377</v>
      </c>
      <c r="AN16" s="222"/>
      <c r="AO16" s="222">
        <f t="shared" si="109"/>
        <v>351756.44393311738</v>
      </c>
      <c r="AP16" s="222"/>
      <c r="AQ16" s="222">
        <f t="shared" si="110"/>
        <v>364067.91947077645</v>
      </c>
      <c r="AR16" s="222"/>
      <c r="AS16" s="222">
        <f t="shared" si="111"/>
        <v>376810.2966522536</v>
      </c>
      <c r="AT16" s="222"/>
      <c r="AU16" s="222">
        <f t="shared" si="112"/>
        <v>389998.65703508246</v>
      </c>
      <c r="AV16" s="222"/>
      <c r="AW16" s="222">
        <f t="shared" si="113"/>
        <v>403648.61003131029</v>
      </c>
      <c r="AX16" s="222"/>
      <c r="AY16" s="222">
        <f t="shared" si="114"/>
        <v>417776.3113824061</v>
      </c>
      <c r="AZ16" s="222"/>
      <c r="BA16" s="222">
        <f t="shared" si="115"/>
        <v>432398.48228079028</v>
      </c>
      <c r="BB16" s="222"/>
      <c r="BC16" s="222">
        <f t="shared" si="116"/>
        <v>447532.42916061793</v>
      </c>
      <c r="BD16" s="222"/>
      <c r="BE16" s="222">
        <f t="shared" si="117"/>
        <v>463196.06418123952</v>
      </c>
      <c r="BF16" s="222"/>
      <c r="BG16" s="222">
        <f t="shared" si="118"/>
        <v>479407.92642758286</v>
      </c>
      <c r="BH16" s="222"/>
      <c r="BI16" s="222">
        <f t="shared" si="119"/>
        <v>496187.20385254821</v>
      </c>
      <c r="BJ16" s="222"/>
      <c r="BK16" s="222">
        <f t="shared" si="120"/>
        <v>513553.75598738733</v>
      </c>
    </row>
    <row r="17" spans="1:63" s="210" customFormat="1" ht="14.25">
      <c r="A17" s="210" t="s">
        <v>560</v>
      </c>
      <c r="C17" s="233"/>
      <c r="E17" s="222">
        <f>Application!W863</f>
        <v>223970</v>
      </c>
      <c r="F17" s="222"/>
      <c r="G17" s="222">
        <f t="shared" si="121"/>
        <v>231808.94999999998</v>
      </c>
      <c r="H17" s="222"/>
      <c r="I17" s="222">
        <f t="shared" si="121"/>
        <v>239922.26324999996</v>
      </c>
      <c r="J17" s="222"/>
      <c r="K17" s="222">
        <f t="shared" si="121"/>
        <v>248319.54246374994</v>
      </c>
      <c r="L17" s="222"/>
      <c r="M17" s="222">
        <f t="shared" si="121"/>
        <v>257010.72644998116</v>
      </c>
      <c r="N17" s="222"/>
      <c r="O17" s="222">
        <f t="shared" si="121"/>
        <v>266006.1018757305</v>
      </c>
      <c r="P17" s="222"/>
      <c r="Q17" s="222">
        <f t="shared" si="121"/>
        <v>275316.31544138107</v>
      </c>
      <c r="R17" s="222"/>
      <c r="S17" s="222">
        <f t="shared" si="121"/>
        <v>284952.3864818294</v>
      </c>
      <c r="T17" s="222"/>
      <c r="U17" s="222">
        <f t="shared" si="121"/>
        <v>294925.7200086934</v>
      </c>
      <c r="V17" s="222"/>
      <c r="W17" s="222">
        <f t="shared" si="121"/>
        <v>305248.12020899763</v>
      </c>
      <c r="X17" s="222"/>
      <c r="Y17" s="222">
        <f t="shared" si="121"/>
        <v>315931.80441631255</v>
      </c>
      <c r="Z17" s="222"/>
      <c r="AA17" s="222">
        <f t="shared" si="121"/>
        <v>326989.41757088347</v>
      </c>
      <c r="AB17" s="222"/>
      <c r="AC17" s="222">
        <f t="shared" si="121"/>
        <v>338434.04718586436</v>
      </c>
      <c r="AD17" s="222"/>
      <c r="AE17" s="222">
        <f t="shared" si="121"/>
        <v>350279.2388373696</v>
      </c>
      <c r="AF17" s="222"/>
      <c r="AG17" s="222">
        <f t="shared" si="105"/>
        <v>362539.0121966775</v>
      </c>
      <c r="AH17" s="222"/>
      <c r="AI17" s="222">
        <f t="shared" si="106"/>
        <v>375227.87762356119</v>
      </c>
      <c r="AJ17" s="222"/>
      <c r="AK17" s="222">
        <f t="shared" si="107"/>
        <v>388360.85334038577</v>
      </c>
      <c r="AL17" s="222"/>
      <c r="AM17" s="222">
        <f t="shared" si="108"/>
        <v>401953.48320729926</v>
      </c>
      <c r="AN17" s="222"/>
      <c r="AO17" s="222">
        <f t="shared" si="109"/>
        <v>416021.85511955468</v>
      </c>
      <c r="AP17" s="222"/>
      <c r="AQ17" s="222">
        <f t="shared" si="110"/>
        <v>430582.62004873907</v>
      </c>
      <c r="AR17" s="222"/>
      <c r="AS17" s="222">
        <f t="shared" si="111"/>
        <v>445653.01175044489</v>
      </c>
      <c r="AT17" s="222"/>
      <c r="AU17" s="222">
        <f t="shared" si="112"/>
        <v>461250.8671617104</v>
      </c>
      <c r="AV17" s="222"/>
      <c r="AW17" s="222">
        <f t="shared" si="113"/>
        <v>477394.6475123702</v>
      </c>
      <c r="AX17" s="222"/>
      <c r="AY17" s="222">
        <f t="shared" si="114"/>
        <v>494103.4601753031</v>
      </c>
      <c r="AZ17" s="222"/>
      <c r="BA17" s="222">
        <f t="shared" si="115"/>
        <v>511397.08128143864</v>
      </c>
      <c r="BB17" s="222"/>
      <c r="BC17" s="222">
        <f t="shared" si="116"/>
        <v>529295.9791262889</v>
      </c>
      <c r="BD17" s="222"/>
      <c r="BE17" s="222">
        <f t="shared" si="117"/>
        <v>547821.33839570894</v>
      </c>
      <c r="BF17" s="222"/>
      <c r="BG17" s="222">
        <f t="shared" si="118"/>
        <v>566995.08523955871</v>
      </c>
      <c r="BH17" s="222"/>
      <c r="BI17" s="222">
        <f t="shared" si="119"/>
        <v>586839.9132229432</v>
      </c>
      <c r="BJ17" s="222"/>
      <c r="BK17" s="222">
        <f t="shared" si="120"/>
        <v>607379.31018574617</v>
      </c>
    </row>
    <row r="18" spans="1:63" s="210" customFormat="1" ht="14.25">
      <c r="A18" s="210" t="s">
        <v>841</v>
      </c>
      <c r="C18" s="233"/>
      <c r="E18" s="222">
        <f>Application!W870</f>
        <v>379910</v>
      </c>
      <c r="F18" s="222"/>
      <c r="G18" s="222">
        <f t="shared" si="121"/>
        <v>393206.85</v>
      </c>
      <c r="H18" s="222"/>
      <c r="I18" s="222">
        <f t="shared" si="121"/>
        <v>406969.08974999993</v>
      </c>
      <c r="J18" s="222"/>
      <c r="K18" s="222">
        <f t="shared" si="121"/>
        <v>421213.0078912499</v>
      </c>
      <c r="L18" s="222"/>
      <c r="M18" s="222">
        <f t="shared" si="121"/>
        <v>435955.46316744364</v>
      </c>
      <c r="N18" s="222"/>
      <c r="O18" s="222">
        <f t="shared" si="121"/>
        <v>451213.90437830414</v>
      </c>
      <c r="P18" s="222"/>
      <c r="Q18" s="222">
        <f t="shared" si="121"/>
        <v>467006.39103154477</v>
      </c>
      <c r="R18" s="222"/>
      <c r="S18" s="222">
        <f t="shared" si="121"/>
        <v>483351.61471764883</v>
      </c>
      <c r="T18" s="222"/>
      <c r="U18" s="222">
        <f t="shared" si="121"/>
        <v>500268.92123276647</v>
      </c>
      <c r="V18" s="222"/>
      <c r="W18" s="222">
        <f t="shared" si="121"/>
        <v>517778.33347591327</v>
      </c>
      <c r="X18" s="222"/>
      <c r="Y18" s="222">
        <f t="shared" si="121"/>
        <v>535900.57514757023</v>
      </c>
      <c r="Z18" s="222"/>
      <c r="AA18" s="222">
        <f t="shared" si="121"/>
        <v>554657.09527773515</v>
      </c>
      <c r="AB18" s="222"/>
      <c r="AC18" s="222">
        <f t="shared" si="121"/>
        <v>574070.09361245588</v>
      </c>
      <c r="AD18" s="222"/>
      <c r="AE18" s="222">
        <f t="shared" si="121"/>
        <v>594162.54688889184</v>
      </c>
      <c r="AF18" s="222"/>
      <c r="AG18" s="222">
        <f t="shared" si="105"/>
        <v>614958.23603000306</v>
      </c>
      <c r="AH18" s="222"/>
      <c r="AI18" s="222">
        <f t="shared" si="106"/>
        <v>636481.77429105307</v>
      </c>
      <c r="AJ18" s="222"/>
      <c r="AK18" s="222">
        <f t="shared" si="107"/>
        <v>658758.63639123982</v>
      </c>
      <c r="AL18" s="222"/>
      <c r="AM18" s="222">
        <f t="shared" si="108"/>
        <v>681815.1886649332</v>
      </c>
      <c r="AN18" s="222"/>
      <c r="AO18" s="222">
        <f t="shared" si="109"/>
        <v>705678.72026820586</v>
      </c>
      <c r="AP18" s="222"/>
      <c r="AQ18" s="222">
        <f t="shared" si="110"/>
        <v>730377.47547759302</v>
      </c>
      <c r="AR18" s="222"/>
      <c r="AS18" s="222">
        <f t="shared" si="111"/>
        <v>755940.68711930874</v>
      </c>
      <c r="AT18" s="222"/>
      <c r="AU18" s="222">
        <f t="shared" si="112"/>
        <v>782398.61116848444</v>
      </c>
      <c r="AV18" s="222"/>
      <c r="AW18" s="222">
        <f t="shared" si="113"/>
        <v>809782.56255938136</v>
      </c>
      <c r="AX18" s="222"/>
      <c r="AY18" s="222">
        <f t="shared" si="114"/>
        <v>838124.95224895969</v>
      </c>
      <c r="AZ18" s="222"/>
      <c r="BA18" s="222">
        <f t="shared" si="115"/>
        <v>867459.32557767315</v>
      </c>
      <c r="BB18" s="222"/>
      <c r="BC18" s="222">
        <f t="shared" si="116"/>
        <v>897820.40197289165</v>
      </c>
      <c r="BD18" s="222"/>
      <c r="BE18" s="222">
        <f t="shared" si="117"/>
        <v>929244.11604194273</v>
      </c>
      <c r="BF18" s="222"/>
      <c r="BG18" s="222">
        <f t="shared" si="118"/>
        <v>961767.6601034106</v>
      </c>
      <c r="BH18" s="222"/>
      <c r="BI18" s="222">
        <f t="shared" si="119"/>
        <v>995429.52820702991</v>
      </c>
      <c r="BJ18" s="222"/>
      <c r="BK18" s="222">
        <f t="shared" si="120"/>
        <v>1030269.5616942759</v>
      </c>
    </row>
    <row r="19" spans="1:63" s="210" customFormat="1" ht="14.25">
      <c r="A19" s="210" t="s">
        <v>155</v>
      </c>
      <c r="C19" s="233"/>
      <c r="E19" s="222">
        <f>Application!W872</f>
        <v>142265</v>
      </c>
      <c r="F19" s="222"/>
      <c r="G19" s="222">
        <f t="shared" si="121"/>
        <v>147244.27499999999</v>
      </c>
      <c r="H19" s="222"/>
      <c r="I19" s="222">
        <f t="shared" si="121"/>
        <v>152397.82462499998</v>
      </c>
      <c r="J19" s="222"/>
      <c r="K19" s="222">
        <f t="shared" si="121"/>
        <v>157731.74848687497</v>
      </c>
      <c r="L19" s="222"/>
      <c r="M19" s="222">
        <f t="shared" si="121"/>
        <v>163252.35968391559</v>
      </c>
      <c r="N19" s="222"/>
      <c r="O19" s="222">
        <f t="shared" si="121"/>
        <v>168966.19227285264</v>
      </c>
      <c r="P19" s="222"/>
      <c r="Q19" s="222">
        <f t="shared" si="121"/>
        <v>174880.00900240248</v>
      </c>
      <c r="R19" s="222"/>
      <c r="S19" s="222">
        <f t="shared" si="121"/>
        <v>181000.80931748656</v>
      </c>
      <c r="T19" s="222"/>
      <c r="U19" s="222">
        <f t="shared" si="121"/>
        <v>187335.83764359858</v>
      </c>
      <c r="V19" s="222"/>
      <c r="W19" s="222">
        <f t="shared" si="121"/>
        <v>193892.59196112453</v>
      </c>
      <c r="X19" s="222"/>
      <c r="Y19" s="222">
        <f t="shared" si="121"/>
        <v>200678.83267976387</v>
      </c>
      <c r="Z19" s="222"/>
      <c r="AA19" s="222">
        <f t="shared" si="121"/>
        <v>207702.59182355559</v>
      </c>
      <c r="AB19" s="222"/>
      <c r="AC19" s="222">
        <f t="shared" si="121"/>
        <v>214972.18253738002</v>
      </c>
      <c r="AD19" s="222"/>
      <c r="AE19" s="222">
        <f t="shared" si="121"/>
        <v>222496.20892618829</v>
      </c>
      <c r="AF19" s="222"/>
      <c r="AG19" s="222">
        <f t="shared" si="105"/>
        <v>230283.57623860487</v>
      </c>
      <c r="AH19" s="222"/>
      <c r="AI19" s="222">
        <f t="shared" si="106"/>
        <v>238343.50140695603</v>
      </c>
      <c r="AJ19" s="222"/>
      <c r="AK19" s="222">
        <f t="shared" si="107"/>
        <v>246685.52395619947</v>
      </c>
      <c r="AL19" s="222"/>
      <c r="AM19" s="222">
        <f t="shared" si="108"/>
        <v>255319.51729466644</v>
      </c>
      <c r="AN19" s="222"/>
      <c r="AO19" s="222">
        <f t="shared" si="109"/>
        <v>264255.70039997972</v>
      </c>
      <c r="AP19" s="222"/>
      <c r="AQ19" s="222">
        <f t="shared" si="110"/>
        <v>273504.649913979</v>
      </c>
      <c r="AR19" s="222"/>
      <c r="AS19" s="222">
        <f t="shared" si="111"/>
        <v>283077.31266096822</v>
      </c>
      <c r="AT19" s="222"/>
      <c r="AU19" s="222">
        <f t="shared" si="112"/>
        <v>292985.01860410208</v>
      </c>
      <c r="AV19" s="222"/>
      <c r="AW19" s="222">
        <f t="shared" si="113"/>
        <v>303239.49425524561</v>
      </c>
      <c r="AX19" s="222"/>
      <c r="AY19" s="222">
        <f t="shared" si="114"/>
        <v>313852.87655417918</v>
      </c>
      <c r="AZ19" s="222"/>
      <c r="BA19" s="222">
        <f t="shared" si="115"/>
        <v>324837.72723357542</v>
      </c>
      <c r="BB19" s="222"/>
      <c r="BC19" s="222">
        <f t="shared" si="116"/>
        <v>336207.04768675053</v>
      </c>
      <c r="BD19" s="222"/>
      <c r="BE19" s="222">
        <f t="shared" si="117"/>
        <v>347974.29435578675</v>
      </c>
      <c r="BF19" s="222"/>
      <c r="BG19" s="222">
        <f t="shared" si="118"/>
        <v>360153.39465823927</v>
      </c>
      <c r="BH19" s="222"/>
      <c r="BI19" s="222">
        <f t="shared" si="119"/>
        <v>372758.76347127761</v>
      </c>
      <c r="BJ19" s="222"/>
      <c r="BK19" s="222">
        <f t="shared" si="120"/>
        <v>385805.32019277231</v>
      </c>
    </row>
    <row r="20" spans="1:63" s="210" customFormat="1" ht="14.25">
      <c r="A20" s="210" t="s">
        <v>390</v>
      </c>
      <c r="C20" s="233"/>
      <c r="E20" s="222">
        <f>Application!W881</f>
        <v>221272</v>
      </c>
      <c r="F20" s="222"/>
      <c r="G20" s="222">
        <f t="shared" si="121"/>
        <v>229016.52</v>
      </c>
      <c r="H20" s="222"/>
      <c r="I20" s="222">
        <f t="shared" si="121"/>
        <v>237032.09819999998</v>
      </c>
      <c r="J20" s="222"/>
      <c r="K20" s="222">
        <f t="shared" si="121"/>
        <v>245328.22163699995</v>
      </c>
      <c r="L20" s="222"/>
      <c r="M20" s="222">
        <f t="shared" si="121"/>
        <v>253914.70939429494</v>
      </c>
      <c r="N20" s="222"/>
      <c r="O20" s="222">
        <f t="shared" si="121"/>
        <v>262801.72422309523</v>
      </c>
      <c r="P20" s="222"/>
      <c r="Q20" s="222">
        <f t="shared" si="121"/>
        <v>271999.78457090352</v>
      </c>
      <c r="R20" s="222"/>
      <c r="S20" s="222">
        <f t="shared" si="121"/>
        <v>281519.7770308851</v>
      </c>
      <c r="T20" s="222"/>
      <c r="U20" s="222">
        <f t="shared" si="121"/>
        <v>291372.96922696609</v>
      </c>
      <c r="V20" s="222"/>
      <c r="W20" s="222">
        <f t="shared" si="121"/>
        <v>301571.02314990986</v>
      </c>
      <c r="X20" s="222"/>
      <c r="Y20" s="222">
        <f t="shared" si="121"/>
        <v>312126.0089601567</v>
      </c>
      <c r="Z20" s="222"/>
      <c r="AA20" s="222">
        <f t="shared" si="121"/>
        <v>323050.41927376215</v>
      </c>
      <c r="AB20" s="222"/>
      <c r="AC20" s="222">
        <f t="shared" si="121"/>
        <v>334357.18394834379</v>
      </c>
      <c r="AD20" s="222"/>
      <c r="AE20" s="222">
        <f t="shared" si="121"/>
        <v>346059.68538653583</v>
      </c>
      <c r="AF20" s="222"/>
      <c r="AG20" s="222">
        <f t="shared" si="105"/>
        <v>358171.77437506453</v>
      </c>
      <c r="AH20" s="222"/>
      <c r="AI20" s="222">
        <f t="shared" si="106"/>
        <v>370707.78647819179</v>
      </c>
      <c r="AJ20" s="222"/>
      <c r="AK20" s="222">
        <f t="shared" si="107"/>
        <v>383682.55900492845</v>
      </c>
      <c r="AL20" s="222"/>
      <c r="AM20" s="222">
        <f t="shared" si="108"/>
        <v>397111.44857010094</v>
      </c>
      <c r="AN20" s="222"/>
      <c r="AO20" s="222">
        <f t="shared" si="109"/>
        <v>411010.34927005443</v>
      </c>
      <c r="AP20" s="222"/>
      <c r="AQ20" s="222">
        <f t="shared" si="110"/>
        <v>425395.71149450628</v>
      </c>
      <c r="AR20" s="222"/>
      <c r="AS20" s="222">
        <f t="shared" si="111"/>
        <v>440284.56139681395</v>
      </c>
      <c r="AT20" s="222"/>
      <c r="AU20" s="222">
        <f t="shared" si="112"/>
        <v>455694.52104570239</v>
      </c>
      <c r="AV20" s="222"/>
      <c r="AW20" s="222">
        <f t="shared" si="113"/>
        <v>471643.82928230194</v>
      </c>
      <c r="AX20" s="222"/>
      <c r="AY20" s="222">
        <f t="shared" si="114"/>
        <v>488151.3633071825</v>
      </c>
      <c r="AZ20" s="222"/>
      <c r="BA20" s="222">
        <f t="shared" si="115"/>
        <v>505236.66102293384</v>
      </c>
      <c r="BB20" s="222"/>
      <c r="BC20" s="222">
        <f t="shared" si="116"/>
        <v>522919.9441587365</v>
      </c>
      <c r="BD20" s="222"/>
      <c r="BE20" s="222">
        <f t="shared" si="117"/>
        <v>541222.14220429223</v>
      </c>
      <c r="BF20" s="222"/>
      <c r="BG20" s="222">
        <f t="shared" si="118"/>
        <v>560164.91718144238</v>
      </c>
      <c r="BH20" s="222"/>
      <c r="BI20" s="222">
        <f t="shared" si="119"/>
        <v>579770.68928279285</v>
      </c>
      <c r="BJ20" s="222"/>
      <c r="BK20" s="222">
        <f t="shared" si="120"/>
        <v>600062.66340769059</v>
      </c>
    </row>
    <row r="21" spans="1:63" s="210" customFormat="1" ht="14.25">
      <c r="A21" s="226" t="s">
        <v>961</v>
      </c>
      <c r="B21" s="226"/>
      <c r="C21" s="233"/>
      <c r="E21" s="232">
        <f>Application!W888</f>
        <v>0</v>
      </c>
      <c r="F21" s="222"/>
      <c r="G21" s="232">
        <f t="shared" si="121"/>
        <v>0</v>
      </c>
      <c r="H21" s="222"/>
      <c r="I21" s="232">
        <f t="shared" si="121"/>
        <v>0</v>
      </c>
      <c r="J21" s="222"/>
      <c r="K21" s="232">
        <f t="shared" si="121"/>
        <v>0</v>
      </c>
      <c r="L21" s="222"/>
      <c r="M21" s="232">
        <f t="shared" si="121"/>
        <v>0</v>
      </c>
      <c r="N21" s="222"/>
      <c r="O21" s="232">
        <f t="shared" si="121"/>
        <v>0</v>
      </c>
      <c r="P21" s="222"/>
      <c r="Q21" s="232">
        <f t="shared" si="121"/>
        <v>0</v>
      </c>
      <c r="R21" s="222"/>
      <c r="S21" s="232">
        <f t="shared" si="121"/>
        <v>0</v>
      </c>
      <c r="T21" s="222"/>
      <c r="U21" s="232">
        <f t="shared" si="121"/>
        <v>0</v>
      </c>
      <c r="V21" s="222"/>
      <c r="W21" s="232">
        <f t="shared" si="121"/>
        <v>0</v>
      </c>
      <c r="X21" s="222"/>
      <c r="Y21" s="232">
        <f t="shared" si="121"/>
        <v>0</v>
      </c>
      <c r="Z21" s="222"/>
      <c r="AA21" s="232">
        <f t="shared" si="121"/>
        <v>0</v>
      </c>
      <c r="AB21" s="222"/>
      <c r="AC21" s="232">
        <f t="shared" si="121"/>
        <v>0</v>
      </c>
      <c r="AD21" s="222"/>
      <c r="AE21" s="232">
        <f t="shared" si="121"/>
        <v>0</v>
      </c>
      <c r="AF21" s="222"/>
      <c r="AG21" s="232">
        <f t="shared" si="105"/>
        <v>0</v>
      </c>
      <c r="AH21" s="222"/>
      <c r="AI21" s="232">
        <f t="shared" si="106"/>
        <v>0</v>
      </c>
      <c r="AJ21" s="222"/>
      <c r="AK21" s="232">
        <f t="shared" si="107"/>
        <v>0</v>
      </c>
      <c r="AL21" s="222"/>
      <c r="AM21" s="232">
        <f t="shared" si="108"/>
        <v>0</v>
      </c>
      <c r="AN21" s="222"/>
      <c r="AO21" s="232">
        <f t="shared" si="109"/>
        <v>0</v>
      </c>
      <c r="AP21" s="222"/>
      <c r="AQ21" s="232">
        <f t="shared" si="110"/>
        <v>0</v>
      </c>
      <c r="AR21" s="222"/>
      <c r="AS21" s="232">
        <f t="shared" si="111"/>
        <v>0</v>
      </c>
      <c r="AT21" s="222"/>
      <c r="AU21" s="232">
        <f t="shared" si="112"/>
        <v>0</v>
      </c>
      <c r="AV21" s="222"/>
      <c r="AW21" s="232">
        <f t="shared" si="113"/>
        <v>0</v>
      </c>
      <c r="AX21" s="222"/>
      <c r="AY21" s="232">
        <f t="shared" si="114"/>
        <v>0</v>
      </c>
      <c r="AZ21" s="222"/>
      <c r="BA21" s="232">
        <f t="shared" si="115"/>
        <v>0</v>
      </c>
      <c r="BB21" s="222"/>
      <c r="BC21" s="232">
        <f t="shared" si="116"/>
        <v>0</v>
      </c>
      <c r="BD21" s="222"/>
      <c r="BE21" s="232">
        <f t="shared" si="117"/>
        <v>0</v>
      </c>
      <c r="BF21" s="222"/>
      <c r="BG21" s="232">
        <f t="shared" si="118"/>
        <v>0</v>
      </c>
      <c r="BH21" s="222"/>
      <c r="BI21" s="232">
        <f t="shared" si="119"/>
        <v>0</v>
      </c>
      <c r="BJ21" s="222"/>
      <c r="BK21" s="232">
        <f t="shared" si="120"/>
        <v>0</v>
      </c>
    </row>
    <row r="22" spans="1:63" s="223" customFormat="1" ht="15">
      <c r="A22" s="223" t="s">
        <v>842</v>
      </c>
      <c r="C22" s="233"/>
      <c r="E22" s="223">
        <f>SUM(E15:E21)</f>
        <v>1393400</v>
      </c>
      <c r="G22" s="223">
        <f>SUM(G15:G21)</f>
        <v>1442169</v>
      </c>
      <c r="I22" s="223">
        <f>SUM(I15:I21)</f>
        <v>1492644.9149999996</v>
      </c>
      <c r="K22" s="223">
        <f>SUM(K15:K21)</f>
        <v>1544887.4870249997</v>
      </c>
      <c r="M22" s="223">
        <f>SUM(M15:M21)</f>
        <v>1598958.5490708745</v>
      </c>
      <c r="O22" s="223">
        <f>SUM(O15:O21)</f>
        <v>1654922.0982883552</v>
      </c>
      <c r="Q22" s="223">
        <f>SUM(Q15:Q21)</f>
        <v>1712844.3717284473</v>
      </c>
      <c r="S22" s="223">
        <f>SUM(S15:S21)</f>
        <v>1772793.9247389431</v>
      </c>
      <c r="U22" s="223">
        <f>SUM(U15:U21)</f>
        <v>1834841.712104806</v>
      </c>
      <c r="W22" s="223">
        <f>SUM(W15:W21)</f>
        <v>1899061.1720284738</v>
      </c>
      <c r="Y22" s="223">
        <f>SUM(Y15:Y21)</f>
        <v>1965528.3130494705</v>
      </c>
      <c r="AA22" s="223">
        <f>SUM(AA15:AA21)</f>
        <v>2034321.8040062012</v>
      </c>
      <c r="AC22" s="223">
        <f>SUM(AC15:AC21)</f>
        <v>2105523.0671464186</v>
      </c>
      <c r="AE22" s="223">
        <f>SUM(AE15:AE21)</f>
        <v>2179216.3744965428</v>
      </c>
      <c r="AG22" s="223">
        <f>SUM(AG15:AG21)</f>
        <v>2255488.9476039223</v>
      </c>
      <c r="AI22" s="223">
        <f t="shared" ref="AI22" si="122">SUM(AI15:AI21)</f>
        <v>2334431.0607700585</v>
      </c>
      <c r="AK22" s="223">
        <f t="shared" ref="AK22" si="123">SUM(AK15:AK21)</f>
        <v>2416136.1478970107</v>
      </c>
      <c r="AM22" s="223">
        <f t="shared" ref="AM22" si="124">SUM(AM15:AM21)</f>
        <v>2500700.9130734061</v>
      </c>
      <c r="AO22" s="223">
        <f t="shared" ref="AO22" si="125">SUM(AO15:AO21)</f>
        <v>2588225.4450309756</v>
      </c>
      <c r="AQ22" s="223">
        <f t="shared" ref="AQ22" si="126">SUM(AQ15:AQ21)</f>
        <v>2678813.3356070593</v>
      </c>
      <c r="AS22" s="223">
        <f t="shared" ref="AS22" si="127">SUM(AS15:AS21)</f>
        <v>2772571.8023533062</v>
      </c>
      <c r="AU22" s="223">
        <f t="shared" ref="AU22" si="128">SUM(AU15:AU21)</f>
        <v>2869611.8154356717</v>
      </c>
      <c r="AW22" s="223">
        <f t="shared" ref="AW22" si="129">SUM(AW15:AW21)</f>
        <v>2970048.2289759195</v>
      </c>
      <c r="AY22" s="223">
        <f t="shared" ref="AY22" si="130">SUM(AY15:AY21)</f>
        <v>3073999.9169900767</v>
      </c>
      <c r="BA22" s="223">
        <f t="shared" ref="BA22" si="131">SUM(BA15:BA21)</f>
        <v>3181589.9140847283</v>
      </c>
      <c r="BC22" s="223">
        <f t="shared" ref="BC22" si="132">SUM(BC15:BC21)</f>
        <v>3292945.5610776944</v>
      </c>
      <c r="BE22" s="223">
        <f t="shared" ref="BE22" si="133">SUM(BE15:BE21)</f>
        <v>3408198.6557154129</v>
      </c>
      <c r="BG22" s="223">
        <f t="shared" ref="BG22" si="134">SUM(BG15:BG21)</f>
        <v>3527485.6086654519</v>
      </c>
      <c r="BI22" s="223">
        <f t="shared" ref="BI22" si="135">SUM(BI15:BI21)</f>
        <v>3650947.6049687425</v>
      </c>
      <c r="BK22" s="223">
        <f t="shared" ref="BK22" si="136">SUM(BK15:BK21)</f>
        <v>3778730.7711426485</v>
      </c>
    </row>
    <row r="23" spans="1:6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c r="AH23" s="222"/>
      <c r="AI23" s="222"/>
      <c r="AJ23" s="222"/>
      <c r="AK23" s="222"/>
      <c r="AL23" s="222"/>
      <c r="AM23" s="222"/>
      <c r="AN23" s="222"/>
      <c r="AO23" s="222"/>
      <c r="AP23" s="222"/>
      <c r="AQ23" s="222"/>
      <c r="AR23" s="222"/>
      <c r="AS23" s="222"/>
      <c r="AT23" s="222"/>
      <c r="AU23" s="222"/>
      <c r="AV23" s="222"/>
      <c r="AW23" s="222"/>
      <c r="AX23" s="222"/>
      <c r="AY23" s="222"/>
      <c r="AZ23" s="222"/>
      <c r="BA23" s="222"/>
      <c r="BB23" s="222"/>
      <c r="BC23" s="222"/>
      <c r="BD23" s="222"/>
      <c r="BE23" s="222"/>
      <c r="BF23" s="222"/>
      <c r="BG23" s="222"/>
      <c r="BH23" s="222"/>
      <c r="BI23" s="222"/>
      <c r="BJ23" s="222"/>
      <c r="BK23" s="222"/>
    </row>
    <row r="24" spans="1:63" s="210" customFormat="1" ht="14.25">
      <c r="A24" s="210" t="s">
        <v>1670</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c r="AH24" s="222"/>
      <c r="AI24" s="222">
        <f t="shared" ref="AI24" si="137">AG24*$C$24</f>
        <v>0</v>
      </c>
      <c r="AJ24" s="222"/>
      <c r="AK24" s="222">
        <f t="shared" ref="AK24" si="138">AI24*$C$24</f>
        <v>0</v>
      </c>
      <c r="AL24" s="222"/>
      <c r="AM24" s="222">
        <f t="shared" ref="AM24" si="139">AK24*$C$24</f>
        <v>0</v>
      </c>
      <c r="AN24" s="222"/>
      <c r="AO24" s="222">
        <f t="shared" ref="AO24" si="140">AM24*$C$24</f>
        <v>0</v>
      </c>
      <c r="AP24" s="222"/>
      <c r="AQ24" s="222">
        <f t="shared" ref="AQ24" si="141">AO24*$C$24</f>
        <v>0</v>
      </c>
      <c r="AR24" s="222"/>
      <c r="AS24" s="222">
        <f t="shared" ref="AS24" si="142">AQ24*$C$24</f>
        <v>0</v>
      </c>
      <c r="AT24" s="222"/>
      <c r="AU24" s="222">
        <f t="shared" ref="AU24" si="143">AS24*$C$24</f>
        <v>0</v>
      </c>
      <c r="AV24" s="222"/>
      <c r="AW24" s="222">
        <f t="shared" ref="AW24" si="144">AU24*$C$24</f>
        <v>0</v>
      </c>
      <c r="AX24" s="222"/>
      <c r="AY24" s="222">
        <f t="shared" ref="AY24" si="145">AW24*$C$24</f>
        <v>0</v>
      </c>
      <c r="AZ24" s="222"/>
      <c r="BA24" s="222">
        <f t="shared" ref="BA24" si="146">AY24*$C$24</f>
        <v>0</v>
      </c>
      <c r="BB24" s="222"/>
      <c r="BC24" s="222">
        <f t="shared" ref="BC24" si="147">BA24*$C$24</f>
        <v>0</v>
      </c>
      <c r="BD24" s="222"/>
      <c r="BE24" s="222">
        <f t="shared" ref="BE24" si="148">BC24*$C$24</f>
        <v>0</v>
      </c>
      <c r="BF24" s="222"/>
      <c r="BG24" s="222">
        <f t="shared" ref="BG24" si="149">BE24*$C$24</f>
        <v>0</v>
      </c>
      <c r="BH24" s="222"/>
      <c r="BI24" s="222">
        <f t="shared" ref="BI24" si="150">BG24*$C$24</f>
        <v>0</v>
      </c>
      <c r="BJ24" s="222"/>
      <c r="BK24" s="222">
        <f t="shared" ref="BK24" si="151">BI24*$C$24</f>
        <v>0</v>
      </c>
    </row>
    <row r="25" spans="1:6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c r="AH25" s="222"/>
      <c r="AI25" s="222"/>
      <c r="AJ25" s="222"/>
      <c r="AK25" s="222"/>
      <c r="AL25" s="222"/>
      <c r="AM25" s="222"/>
      <c r="AN25" s="222"/>
      <c r="AO25" s="222"/>
      <c r="AP25" s="222"/>
      <c r="AQ25" s="222"/>
      <c r="AR25" s="222"/>
      <c r="AS25" s="222"/>
      <c r="AT25" s="222"/>
      <c r="AU25" s="222"/>
      <c r="AV25" s="222"/>
      <c r="AW25" s="222"/>
      <c r="AX25" s="222"/>
      <c r="AY25" s="222"/>
      <c r="AZ25" s="222"/>
      <c r="BA25" s="222"/>
      <c r="BB25" s="222"/>
      <c r="BC25" s="222"/>
      <c r="BD25" s="222"/>
      <c r="BE25" s="222"/>
      <c r="BF25" s="222"/>
      <c r="BG25" s="222"/>
      <c r="BH25" s="222"/>
      <c r="BI25" s="222"/>
      <c r="BJ25" s="222"/>
      <c r="BK25" s="222"/>
    </row>
    <row r="26" spans="1:63" s="210" customFormat="1" ht="14.25">
      <c r="A26" s="210" t="s">
        <v>1158</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c r="AH26" s="222"/>
      <c r="AI26" s="222">
        <f t="shared" ref="AI26" si="152">AG26*$C$26</f>
        <v>0</v>
      </c>
      <c r="AJ26" s="222"/>
      <c r="AK26" s="222">
        <f t="shared" ref="AK26" si="153">AI26*$C$26</f>
        <v>0</v>
      </c>
      <c r="AL26" s="222"/>
      <c r="AM26" s="222">
        <f t="shared" ref="AM26" si="154">AK26*$C$26</f>
        <v>0</v>
      </c>
      <c r="AN26" s="222"/>
      <c r="AO26" s="222">
        <f t="shared" ref="AO26" si="155">AM26*$C$26</f>
        <v>0</v>
      </c>
      <c r="AP26" s="222"/>
      <c r="AQ26" s="222">
        <f t="shared" ref="AQ26" si="156">AO26*$C$26</f>
        <v>0</v>
      </c>
      <c r="AR26" s="222"/>
      <c r="AS26" s="222">
        <f t="shared" ref="AS26" si="157">AQ26*$C$26</f>
        <v>0</v>
      </c>
      <c r="AT26" s="222"/>
      <c r="AU26" s="222">
        <f t="shared" ref="AU26" si="158">AS26*$C$26</f>
        <v>0</v>
      </c>
      <c r="AV26" s="222"/>
      <c r="AW26" s="222">
        <f t="shared" ref="AW26" si="159">AU26*$C$26</f>
        <v>0</v>
      </c>
      <c r="AX26" s="222"/>
      <c r="AY26" s="222">
        <f t="shared" ref="AY26" si="160">AW26*$C$26</f>
        <v>0</v>
      </c>
      <c r="AZ26" s="222"/>
      <c r="BA26" s="222">
        <f t="shared" ref="BA26" si="161">AY26*$C$26</f>
        <v>0</v>
      </c>
      <c r="BB26" s="222"/>
      <c r="BC26" s="222">
        <f t="shared" ref="BC26" si="162">BA26*$C$26</f>
        <v>0</v>
      </c>
      <c r="BD26" s="222"/>
      <c r="BE26" s="222">
        <f t="shared" ref="BE26" si="163">BC26*$C$26</f>
        <v>0</v>
      </c>
      <c r="BF26" s="222"/>
      <c r="BG26" s="222">
        <f t="shared" ref="BG26" si="164">BE26*$C$26</f>
        <v>0</v>
      </c>
      <c r="BH26" s="222"/>
      <c r="BI26" s="222">
        <f t="shared" ref="BI26" si="165">BG26*$C$26</f>
        <v>0</v>
      </c>
      <c r="BJ26" s="222"/>
      <c r="BK26" s="222">
        <f t="shared" ref="BK26" si="166">BI26*$C$26</f>
        <v>0</v>
      </c>
    </row>
    <row r="27" spans="1:63" s="210" customFormat="1" ht="14.25">
      <c r="A27" s="210" t="s">
        <v>844</v>
      </c>
      <c r="C27" s="237">
        <v>1.0349999999999999</v>
      </c>
      <c r="E27" s="222">
        <f>Application!AC897</f>
        <v>30600</v>
      </c>
      <c r="F27" s="222"/>
      <c r="G27" s="222">
        <f>E27*$C$27</f>
        <v>31670.999999999996</v>
      </c>
      <c r="H27" s="222"/>
      <c r="I27" s="222">
        <f>G27*$C$27</f>
        <v>32779.484999999993</v>
      </c>
      <c r="J27" s="222"/>
      <c r="K27" s="222">
        <f>I27*$C$27</f>
        <v>33926.766974999991</v>
      </c>
      <c r="L27" s="222"/>
      <c r="M27" s="222">
        <f>K27*$C$27</f>
        <v>35114.203819124989</v>
      </c>
      <c r="N27" s="222"/>
      <c r="O27" s="222">
        <f>M27*$C$27</f>
        <v>36343.200952794359</v>
      </c>
      <c r="P27" s="222"/>
      <c r="Q27" s="222">
        <f>O27*$C$27</f>
        <v>37615.212986142156</v>
      </c>
      <c r="R27" s="222"/>
      <c r="S27" s="222">
        <f>Q27*$C$27</f>
        <v>38931.745440657127</v>
      </c>
      <c r="T27" s="222"/>
      <c r="U27" s="222">
        <f>S27*$C$27</f>
        <v>40294.35653108012</v>
      </c>
      <c r="V27" s="222"/>
      <c r="W27" s="222">
        <f>U27*$C$27</f>
        <v>41704.659009667921</v>
      </c>
      <c r="X27" s="222"/>
      <c r="Y27" s="222">
        <f>W27*$C$27</f>
        <v>43164.322075006297</v>
      </c>
      <c r="Z27" s="222"/>
      <c r="AA27" s="222">
        <f>Y27*$C$27</f>
        <v>44675.073347631514</v>
      </c>
      <c r="AB27" s="222"/>
      <c r="AC27" s="222">
        <f>AA27*$C$27</f>
        <v>46238.700914798617</v>
      </c>
      <c r="AD27" s="222"/>
      <c r="AE27" s="222">
        <f>AC27*$C$27</f>
        <v>47857.055446816565</v>
      </c>
      <c r="AF27" s="222"/>
      <c r="AG27" s="222">
        <f>AE27*$C$27</f>
        <v>49532.052387455144</v>
      </c>
      <c r="AH27" s="222"/>
      <c r="AI27" s="222">
        <f t="shared" ref="AI27" si="167">AG27*$C$27</f>
        <v>51265.674221016066</v>
      </c>
      <c r="AJ27" s="222"/>
      <c r="AK27" s="222">
        <f t="shared" ref="AK27" si="168">AI27*$C$27</f>
        <v>53059.972818751623</v>
      </c>
      <c r="AL27" s="222"/>
      <c r="AM27" s="222">
        <f t="shared" ref="AM27" si="169">AK27*$C$27</f>
        <v>54917.071867407925</v>
      </c>
      <c r="AN27" s="222"/>
      <c r="AO27" s="222">
        <f t="shared" ref="AO27" si="170">AM27*$C$27</f>
        <v>56839.169382767199</v>
      </c>
      <c r="AP27" s="222"/>
      <c r="AQ27" s="222">
        <f t="shared" ref="AQ27" si="171">AO27*$C$27</f>
        <v>58828.540311164048</v>
      </c>
      <c r="AR27" s="222"/>
      <c r="AS27" s="222">
        <f t="shared" ref="AS27" si="172">AQ27*$C$27</f>
        <v>60887.539222054787</v>
      </c>
      <c r="AT27" s="222"/>
      <c r="AU27" s="222">
        <f t="shared" ref="AU27" si="173">AS27*$C$27</f>
        <v>63018.6030948267</v>
      </c>
      <c r="AV27" s="222"/>
      <c r="AW27" s="222">
        <f t="shared" ref="AW27" si="174">AU27*$C$27</f>
        <v>65224.254203145632</v>
      </c>
      <c r="AX27" s="222"/>
      <c r="AY27" s="222">
        <f t="shared" ref="AY27" si="175">AW27*$C$27</f>
        <v>67507.103100255728</v>
      </c>
      <c r="AZ27" s="222"/>
      <c r="BA27" s="222">
        <f t="shared" ref="BA27" si="176">AY27*$C$27</f>
        <v>69869.851708764676</v>
      </c>
      <c r="BB27" s="222"/>
      <c r="BC27" s="222">
        <f t="shared" ref="BC27" si="177">BA27*$C$27</f>
        <v>72315.296518571427</v>
      </c>
      <c r="BD27" s="222"/>
      <c r="BE27" s="222">
        <f t="shared" ref="BE27" si="178">BC27*$C$27</f>
        <v>74846.331896721415</v>
      </c>
      <c r="BF27" s="222"/>
      <c r="BG27" s="222">
        <f t="shared" ref="BG27" si="179">BE27*$C$27</f>
        <v>77465.953513106651</v>
      </c>
      <c r="BH27" s="222"/>
      <c r="BI27" s="222">
        <f t="shared" ref="BI27" si="180">BG27*$C$27</f>
        <v>80177.261886065375</v>
      </c>
      <c r="BJ27" s="222"/>
      <c r="BK27" s="222">
        <f t="shared" ref="BK27" si="181">BI27*$C$27</f>
        <v>82983.466052077652</v>
      </c>
    </row>
    <row r="28" spans="1:63" s="210" customFormat="1" ht="14.25">
      <c r="A28" s="210" t="s">
        <v>845</v>
      </c>
      <c r="C28" s="237"/>
      <c r="E28" s="222">
        <f>Application!AC898</f>
        <v>51250</v>
      </c>
      <c r="F28" s="222"/>
      <c r="G28" s="222">
        <f>$E$28</f>
        <v>51250</v>
      </c>
      <c r="H28" s="222"/>
      <c r="I28" s="222">
        <f>$E$28</f>
        <v>51250</v>
      </c>
      <c r="J28" s="222"/>
      <c r="K28" s="222">
        <f>$E$28</f>
        <v>51250</v>
      </c>
      <c r="L28" s="222"/>
      <c r="M28" s="222">
        <f>$E$28</f>
        <v>51250</v>
      </c>
      <c r="N28" s="222"/>
      <c r="O28" s="222">
        <f>$E$28</f>
        <v>51250</v>
      </c>
      <c r="P28" s="222"/>
      <c r="Q28" s="222">
        <f>$E$28</f>
        <v>51250</v>
      </c>
      <c r="R28" s="222"/>
      <c r="S28" s="222">
        <f>$E$28</f>
        <v>51250</v>
      </c>
      <c r="T28" s="222"/>
      <c r="U28" s="222">
        <f>$E$28</f>
        <v>51250</v>
      </c>
      <c r="V28" s="222"/>
      <c r="W28" s="222">
        <f>$E$28</f>
        <v>51250</v>
      </c>
      <c r="X28" s="222"/>
      <c r="Y28" s="222">
        <f>$E$28</f>
        <v>51250</v>
      </c>
      <c r="Z28" s="222"/>
      <c r="AA28" s="222">
        <f>$E$28</f>
        <v>51250</v>
      </c>
      <c r="AB28" s="222"/>
      <c r="AC28" s="222">
        <f>$E$28</f>
        <v>51250</v>
      </c>
      <c r="AD28" s="222"/>
      <c r="AE28" s="222">
        <f>$E$28</f>
        <v>51250</v>
      </c>
      <c r="AF28" s="222"/>
      <c r="AG28" s="222">
        <f>$E$28</f>
        <v>51250</v>
      </c>
      <c r="AH28" s="222"/>
      <c r="AI28" s="222">
        <f t="shared" ref="AI28" si="182">$E$28</f>
        <v>51250</v>
      </c>
      <c r="AJ28" s="222"/>
      <c r="AK28" s="222">
        <f t="shared" ref="AK28" si="183">$E$28</f>
        <v>51250</v>
      </c>
      <c r="AL28" s="222"/>
      <c r="AM28" s="222">
        <f t="shared" ref="AM28" si="184">$E$28</f>
        <v>51250</v>
      </c>
      <c r="AN28" s="222"/>
      <c r="AO28" s="222">
        <f t="shared" ref="AO28" si="185">$E$28</f>
        <v>51250</v>
      </c>
      <c r="AP28" s="222"/>
      <c r="AQ28" s="222">
        <f t="shared" ref="AQ28" si="186">$E$28</f>
        <v>51250</v>
      </c>
      <c r="AR28" s="222"/>
      <c r="AS28" s="222">
        <f t="shared" ref="AS28" si="187">$E$28</f>
        <v>51250</v>
      </c>
      <c r="AT28" s="222"/>
      <c r="AU28" s="222">
        <f t="shared" ref="AU28" si="188">$E$28</f>
        <v>51250</v>
      </c>
      <c r="AV28" s="222"/>
      <c r="AW28" s="222">
        <f t="shared" ref="AW28" si="189">$E$28</f>
        <v>51250</v>
      </c>
      <c r="AX28" s="222"/>
      <c r="AY28" s="222">
        <f t="shared" ref="AY28" si="190">$E$28</f>
        <v>51250</v>
      </c>
      <c r="AZ28" s="222"/>
      <c r="BA28" s="222">
        <f t="shared" ref="BA28" si="191">$E$28</f>
        <v>51250</v>
      </c>
      <c r="BB28" s="222"/>
      <c r="BC28" s="222">
        <f t="shared" ref="BC28" si="192">$E$28</f>
        <v>51250</v>
      </c>
      <c r="BD28" s="222"/>
      <c r="BE28" s="222">
        <f t="shared" ref="BE28:BK28" si="193">$E$28</f>
        <v>51250</v>
      </c>
      <c r="BF28" s="222"/>
      <c r="BG28" s="222">
        <f t="shared" si="193"/>
        <v>51250</v>
      </c>
      <c r="BH28" s="222"/>
      <c r="BI28" s="222">
        <f t="shared" si="193"/>
        <v>51250</v>
      </c>
      <c r="BJ28" s="222"/>
      <c r="BK28" s="222">
        <f t="shared" si="193"/>
        <v>51250</v>
      </c>
    </row>
    <row r="29" spans="1:63" s="210" customFormat="1" ht="14.25">
      <c r="A29" s="210" t="s">
        <v>1668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c r="AH29" s="222"/>
      <c r="AI29" s="222">
        <f t="shared" ref="AI29" si="194">$E$29</f>
        <v>0</v>
      </c>
      <c r="AJ29" s="222"/>
      <c r="AK29" s="222">
        <f t="shared" ref="AK29" si="195">$E$29</f>
        <v>0</v>
      </c>
      <c r="AL29" s="222"/>
      <c r="AM29" s="222">
        <f t="shared" ref="AM29" si="196">$E$29</f>
        <v>0</v>
      </c>
      <c r="AN29" s="222"/>
      <c r="AO29" s="222">
        <f t="shared" ref="AO29" si="197">$E$29</f>
        <v>0</v>
      </c>
      <c r="AP29" s="222"/>
      <c r="AQ29" s="222">
        <f t="shared" ref="AQ29" si="198">$E$29</f>
        <v>0</v>
      </c>
      <c r="AR29" s="222"/>
      <c r="AS29" s="222">
        <f t="shared" ref="AS29" si="199">$E$29</f>
        <v>0</v>
      </c>
      <c r="AT29" s="222"/>
      <c r="AU29" s="222">
        <f t="shared" ref="AU29" si="200">$E$29</f>
        <v>0</v>
      </c>
      <c r="AV29" s="222"/>
      <c r="AW29" s="222">
        <f t="shared" ref="AW29" si="201">$E$29</f>
        <v>0</v>
      </c>
      <c r="AX29" s="222"/>
      <c r="AY29" s="222">
        <f t="shared" ref="AY29" si="202">$E$29</f>
        <v>0</v>
      </c>
      <c r="AZ29" s="222"/>
      <c r="BA29" s="222">
        <f t="shared" ref="BA29" si="203">$E$29</f>
        <v>0</v>
      </c>
      <c r="BB29" s="222"/>
      <c r="BC29" s="222">
        <f t="shared" ref="BC29" si="204">$E$29</f>
        <v>0</v>
      </c>
      <c r="BD29" s="222"/>
      <c r="BE29" s="222">
        <f t="shared" ref="BE29:BK29" si="205">$E$29</f>
        <v>0</v>
      </c>
      <c r="BF29" s="222"/>
      <c r="BG29" s="222">
        <f t="shared" si="205"/>
        <v>0</v>
      </c>
      <c r="BH29" s="222"/>
      <c r="BI29" s="222">
        <f t="shared" si="205"/>
        <v>0</v>
      </c>
      <c r="BJ29" s="222"/>
      <c r="BK29" s="222">
        <f t="shared" si="205"/>
        <v>0</v>
      </c>
    </row>
    <row r="30" spans="1:63" s="210" customFormat="1" ht="14.25">
      <c r="A30" s="210" t="s">
        <v>843</v>
      </c>
      <c r="C30" s="237">
        <v>1.02</v>
      </c>
      <c r="E30" s="222">
        <f>Application!AC900</f>
        <v>30750</v>
      </c>
      <c r="F30" s="222"/>
      <c r="G30" s="222">
        <f>E30*$C$30</f>
        <v>31365</v>
      </c>
      <c r="H30" s="222"/>
      <c r="I30" s="222">
        <f>G30*$C$30</f>
        <v>31992.3</v>
      </c>
      <c r="J30" s="222"/>
      <c r="K30" s="222">
        <f>I30*$C$30</f>
        <v>32632.146000000001</v>
      </c>
      <c r="L30" s="222"/>
      <c r="M30" s="222">
        <f>K30*$C$30</f>
        <v>33284.788919999999</v>
      </c>
      <c r="N30" s="222"/>
      <c r="O30" s="222">
        <f>M30*$C$30</f>
        <v>33950.484698400003</v>
      </c>
      <c r="P30" s="222"/>
      <c r="Q30" s="222">
        <f>O30*$C$30</f>
        <v>34629.494392368004</v>
      </c>
      <c r="R30" s="222"/>
      <c r="S30" s="222">
        <f>Q30*$C$30</f>
        <v>35322.084280215364</v>
      </c>
      <c r="T30" s="222"/>
      <c r="U30" s="222">
        <f>S30*$C$30</f>
        <v>36028.525965819674</v>
      </c>
      <c r="V30" s="222"/>
      <c r="W30" s="222">
        <f>U30*$C$30</f>
        <v>36749.09648513607</v>
      </c>
      <c r="X30" s="222"/>
      <c r="Y30" s="222">
        <f>W30*$C$30</f>
        <v>37484.07841483879</v>
      </c>
      <c r="Z30" s="222"/>
      <c r="AA30" s="222">
        <f>Y30*$C$30</f>
        <v>38233.759983135569</v>
      </c>
      <c r="AB30" s="222"/>
      <c r="AC30" s="222">
        <f>AA30*$C$30</f>
        <v>38998.435182798283</v>
      </c>
      <c r="AD30" s="222"/>
      <c r="AE30" s="222">
        <f>AC30*$C$30</f>
        <v>39778.403886454253</v>
      </c>
      <c r="AF30" s="222"/>
      <c r="AG30" s="222">
        <f>AE30*$C$30</f>
        <v>40573.971964183336</v>
      </c>
      <c r="AH30" s="222"/>
      <c r="AI30" s="222">
        <f t="shared" ref="AI30" si="206">AG30*$C$30</f>
        <v>41385.451403467006</v>
      </c>
      <c r="AJ30" s="222"/>
      <c r="AK30" s="222">
        <f t="shared" ref="AK30" si="207">AI30*$C$30</f>
        <v>42213.160431536344</v>
      </c>
      <c r="AL30" s="222"/>
      <c r="AM30" s="222">
        <f t="shared" ref="AM30" si="208">AK30*$C$30</f>
        <v>43057.423640167071</v>
      </c>
      <c r="AN30" s="222"/>
      <c r="AO30" s="222">
        <f t="shared" ref="AO30" si="209">AM30*$C$30</f>
        <v>43918.572112970411</v>
      </c>
      <c r="AP30" s="222"/>
      <c r="AQ30" s="222">
        <f t="shared" ref="AQ30" si="210">AO30*$C$30</f>
        <v>44796.943555229816</v>
      </c>
      <c r="AR30" s="222"/>
      <c r="AS30" s="222">
        <f t="shared" ref="AS30" si="211">AQ30*$C$30</f>
        <v>45692.882426334414</v>
      </c>
      <c r="AT30" s="222"/>
      <c r="AU30" s="222">
        <f t="shared" ref="AU30" si="212">AS30*$C$30</f>
        <v>46606.740074861103</v>
      </c>
      <c r="AV30" s="222"/>
      <c r="AW30" s="222">
        <f t="shared" ref="AW30" si="213">AU30*$C$30</f>
        <v>47538.874876358328</v>
      </c>
      <c r="AX30" s="222"/>
      <c r="AY30" s="222">
        <f t="shared" ref="AY30" si="214">AW30*$C$30</f>
        <v>48489.652373885496</v>
      </c>
      <c r="AZ30" s="222"/>
      <c r="BA30" s="222">
        <f t="shared" ref="BA30" si="215">AY30*$C$30</f>
        <v>49459.445421363205</v>
      </c>
      <c r="BB30" s="222"/>
      <c r="BC30" s="222">
        <f t="shared" ref="BC30" si="216">BA30*$C$30</f>
        <v>50448.634329790468</v>
      </c>
      <c r="BD30" s="222"/>
      <c r="BE30" s="222">
        <f t="shared" ref="BE30" si="217">BC30*$C$30</f>
        <v>51457.607016386275</v>
      </c>
      <c r="BF30" s="222"/>
      <c r="BG30" s="222">
        <f t="shared" ref="BG30" si="218">BE30*$C$30</f>
        <v>52486.759156714004</v>
      </c>
      <c r="BH30" s="222"/>
      <c r="BI30" s="222">
        <f t="shared" ref="BI30" si="219">BG30*$C$30</f>
        <v>53536.494339848286</v>
      </c>
      <c r="BJ30" s="222"/>
      <c r="BK30" s="222">
        <f t="shared" ref="BK30" si="220">BI30*$C$30</f>
        <v>54607.224226645252</v>
      </c>
    </row>
    <row r="31" spans="1:63" s="210" customFormat="1" ht="14.25">
      <c r="A31" s="210" t="s">
        <v>1669</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c r="AH31" s="222"/>
      <c r="AI31" s="222">
        <f t="shared" ref="AI31" si="221">AG31*$C$31</f>
        <v>0</v>
      </c>
      <c r="AJ31" s="222"/>
      <c r="AK31" s="222">
        <f t="shared" ref="AK31" si="222">AI31*$C$31</f>
        <v>0</v>
      </c>
      <c r="AL31" s="222"/>
      <c r="AM31" s="222">
        <f t="shared" ref="AM31" si="223">AK31*$C$31</f>
        <v>0</v>
      </c>
      <c r="AN31" s="222"/>
      <c r="AO31" s="222">
        <f t="shared" ref="AO31" si="224">AM31*$C$31</f>
        <v>0</v>
      </c>
      <c r="AP31" s="222"/>
      <c r="AQ31" s="222">
        <f t="shared" ref="AQ31" si="225">AO31*$C$31</f>
        <v>0</v>
      </c>
      <c r="AR31" s="222"/>
      <c r="AS31" s="222">
        <f t="shared" ref="AS31" si="226">AQ31*$C$31</f>
        <v>0</v>
      </c>
      <c r="AT31" s="222"/>
      <c r="AU31" s="222">
        <f t="shared" ref="AU31" si="227">AS31*$C$31</f>
        <v>0</v>
      </c>
      <c r="AV31" s="222"/>
      <c r="AW31" s="222">
        <f t="shared" ref="AW31" si="228">AU31*$C$31</f>
        <v>0</v>
      </c>
      <c r="AX31" s="222"/>
      <c r="AY31" s="222">
        <f t="shared" ref="AY31" si="229">AW31*$C$31</f>
        <v>0</v>
      </c>
      <c r="AZ31" s="222"/>
      <c r="BA31" s="222">
        <f t="shared" ref="BA31" si="230">AY31*$C$31</f>
        <v>0</v>
      </c>
      <c r="BB31" s="222"/>
      <c r="BC31" s="222">
        <f t="shared" ref="BC31" si="231">BA31*$C$31</f>
        <v>0</v>
      </c>
      <c r="BD31" s="222"/>
      <c r="BE31" s="222">
        <f t="shared" ref="BE31" si="232">BC31*$C$31</f>
        <v>0</v>
      </c>
      <c r="BF31" s="222"/>
      <c r="BG31" s="222">
        <f t="shared" ref="BG31" si="233">BE31*$C$31</f>
        <v>0</v>
      </c>
      <c r="BH31" s="222"/>
      <c r="BI31" s="222">
        <f t="shared" ref="BI31" si="234">BG31*$C$31</f>
        <v>0</v>
      </c>
      <c r="BJ31" s="222"/>
      <c r="BK31" s="222">
        <f t="shared" ref="BK31" si="235">BI31*$C$31</f>
        <v>0</v>
      </c>
    </row>
    <row r="32" spans="1:63" s="210" customFormat="1" ht="14.25">
      <c r="A32" s="210" t="str">
        <f>Application!C903</f>
        <v>Bond Issuer Fees:</v>
      </c>
      <c r="C32" s="316">
        <v>1.0349999999999999</v>
      </c>
      <c r="E32" s="222">
        <f>Application!AC903</f>
        <v>7879</v>
      </c>
      <c r="F32" s="222"/>
      <c r="G32" s="222">
        <f>E32*$C$32</f>
        <v>8154.7649999999994</v>
      </c>
      <c r="H32" s="222"/>
      <c r="I32" s="222">
        <f>G32*$C$32</f>
        <v>8440.1817749999991</v>
      </c>
      <c r="J32" s="222"/>
      <c r="K32" s="222">
        <f>I32*$C$32</f>
        <v>8735.588137124998</v>
      </c>
      <c r="L32" s="222"/>
      <c r="M32" s="222">
        <f>K32*$C$32</f>
        <v>9041.3337219243731</v>
      </c>
      <c r="N32" s="222"/>
      <c r="O32" s="222">
        <f>M32*$C$32</f>
        <v>9357.7804021917254</v>
      </c>
      <c r="P32" s="222"/>
      <c r="Q32" s="222">
        <f>O32*$C$32</f>
        <v>9685.3027162684357</v>
      </c>
      <c r="R32" s="222"/>
      <c r="S32" s="222">
        <f>Q32*$C$32</f>
        <v>10024.28831133783</v>
      </c>
      <c r="T32" s="222"/>
      <c r="U32" s="222">
        <f>S32*$C$32</f>
        <v>10375.138402234654</v>
      </c>
      <c r="V32" s="222"/>
      <c r="W32" s="222">
        <f>U32*$C$32</f>
        <v>10738.268246312866</v>
      </c>
      <c r="X32" s="222"/>
      <c r="Y32" s="222">
        <f>W32*$C$32</f>
        <v>11114.107634933815</v>
      </c>
      <c r="Z32" s="222"/>
      <c r="AA32" s="222">
        <f>Y32*$C$32</f>
        <v>11503.101402156497</v>
      </c>
      <c r="AB32" s="222"/>
      <c r="AC32" s="222">
        <f>AA32*$C$32</f>
        <v>11905.709951231973</v>
      </c>
      <c r="AD32" s="222"/>
      <c r="AE32" s="222">
        <f>AC32*$C$32</f>
        <v>12322.40979952509</v>
      </c>
      <c r="AF32" s="222"/>
      <c r="AG32" s="222">
        <f>AE32*$C$32</f>
        <v>12753.694142508468</v>
      </c>
      <c r="AH32" s="222"/>
      <c r="AI32" s="222">
        <f t="shared" ref="AI32" si="236">AG32*$C$32</f>
        <v>13200.073437496263</v>
      </c>
      <c r="AJ32" s="222"/>
      <c r="AK32" s="222">
        <f t="shared" ref="AK32" si="237">AI32*$C$32</f>
        <v>13662.076007808631</v>
      </c>
      <c r="AL32" s="222"/>
      <c r="AM32" s="222">
        <f t="shared" ref="AM32" si="238">AK32*$C$32</f>
        <v>14140.248668081933</v>
      </c>
      <c r="AN32" s="222"/>
      <c r="AO32" s="222">
        <f t="shared" ref="AO32" si="239">AM32*$C$32</f>
        <v>14635.1573714648</v>
      </c>
      <c r="AP32" s="222"/>
      <c r="AQ32" s="222">
        <f t="shared" ref="AQ32" si="240">AO32*$C$32</f>
        <v>15147.387879466067</v>
      </c>
      <c r="AR32" s="222"/>
      <c r="AS32" s="222">
        <f t="shared" ref="AS32" si="241">AQ32*$C$32</f>
        <v>15677.546455247379</v>
      </c>
      <c r="AT32" s="222"/>
      <c r="AU32" s="222">
        <f t="shared" ref="AU32" si="242">AS32*$C$32</f>
        <v>16226.260581181035</v>
      </c>
      <c r="AV32" s="222"/>
      <c r="AW32" s="222">
        <f t="shared" ref="AW32" si="243">AU32*$C$32</f>
        <v>16794.179701522371</v>
      </c>
      <c r="AX32" s="222"/>
      <c r="AY32" s="222">
        <f t="shared" ref="AY32" si="244">AW32*$C$32</f>
        <v>17381.975991075651</v>
      </c>
      <c r="AZ32" s="222"/>
      <c r="BA32" s="222">
        <f t="shared" ref="BA32" si="245">AY32*$C$32</f>
        <v>17990.345150763296</v>
      </c>
      <c r="BB32" s="222"/>
      <c r="BC32" s="222">
        <f t="shared" ref="BC32" si="246">BA32*$C$32</f>
        <v>18620.00723104001</v>
      </c>
      <c r="BD32" s="222"/>
      <c r="BE32" s="222">
        <f t="shared" ref="BE32" si="247">BC32*$C$32</f>
        <v>19271.707484126408</v>
      </c>
      <c r="BF32" s="222"/>
      <c r="BG32" s="222">
        <f t="shared" ref="BG32" si="248">BE32*$C$32</f>
        <v>19946.217246070832</v>
      </c>
      <c r="BH32" s="222"/>
      <c r="BI32" s="222">
        <f t="shared" ref="BI32" si="249">BG32*$C$32</f>
        <v>20644.33484968331</v>
      </c>
      <c r="BJ32" s="222"/>
      <c r="BK32" s="222">
        <f t="shared" ref="BK32" si="250">BI32*$C$32</f>
        <v>21366.886569422222</v>
      </c>
    </row>
    <row r="33" spans="1:6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c r="AH33" s="222"/>
      <c r="AI33" s="222">
        <f t="shared" ref="AI33" si="251">AG33*$C$33</f>
        <v>0</v>
      </c>
      <c r="AJ33" s="222"/>
      <c r="AK33" s="222">
        <f t="shared" ref="AK33" si="252">AI33*$C$33</f>
        <v>0</v>
      </c>
      <c r="AL33" s="222"/>
      <c r="AM33" s="222">
        <f t="shared" ref="AM33" si="253">AK33*$C$33</f>
        <v>0</v>
      </c>
      <c r="AN33" s="222"/>
      <c r="AO33" s="222">
        <f t="shared" ref="AO33" si="254">AM33*$C$33</f>
        <v>0</v>
      </c>
      <c r="AP33" s="222"/>
      <c r="AQ33" s="222">
        <f t="shared" ref="AQ33" si="255">AO33*$C$33</f>
        <v>0</v>
      </c>
      <c r="AR33" s="222"/>
      <c r="AS33" s="222">
        <f t="shared" ref="AS33" si="256">AQ33*$C$33</f>
        <v>0</v>
      </c>
      <c r="AT33" s="222"/>
      <c r="AU33" s="222">
        <f t="shared" ref="AU33" si="257">AS33*$C$33</f>
        <v>0</v>
      </c>
      <c r="AV33" s="222"/>
      <c r="AW33" s="222">
        <f t="shared" ref="AW33" si="258">AU33*$C$33</f>
        <v>0</v>
      </c>
      <c r="AX33" s="222"/>
      <c r="AY33" s="222">
        <f t="shared" ref="AY33" si="259">AW33*$C$33</f>
        <v>0</v>
      </c>
      <c r="AZ33" s="222"/>
      <c r="BA33" s="222">
        <f t="shared" ref="BA33" si="260">AY33*$C$33</f>
        <v>0</v>
      </c>
      <c r="BB33" s="222"/>
      <c r="BC33" s="222">
        <f t="shared" ref="BC33" si="261">BA33*$C$33</f>
        <v>0</v>
      </c>
      <c r="BD33" s="222"/>
      <c r="BE33" s="222">
        <f t="shared" ref="BE33" si="262">BC33*$C$33</f>
        <v>0</v>
      </c>
      <c r="BF33" s="222"/>
      <c r="BG33" s="222">
        <f t="shared" ref="BG33" si="263">BE33*$C$33</f>
        <v>0</v>
      </c>
      <c r="BH33" s="222"/>
      <c r="BI33" s="222">
        <f t="shared" ref="BI33" si="264">BG33*$C$33</f>
        <v>0</v>
      </c>
      <c r="BJ33" s="222"/>
      <c r="BK33" s="222">
        <f t="shared" ref="BK33" si="265">BI33*$C$33</f>
        <v>0</v>
      </c>
    </row>
    <row r="34" spans="1:6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c r="AH34" s="222"/>
      <c r="AI34" s="222"/>
      <c r="AJ34" s="222"/>
      <c r="AK34" s="222"/>
      <c r="AL34" s="222"/>
      <c r="AM34" s="222"/>
      <c r="AN34" s="222"/>
      <c r="AO34" s="222"/>
      <c r="AP34" s="222"/>
      <c r="AQ34" s="222"/>
      <c r="AR34" s="222"/>
      <c r="AS34" s="222"/>
      <c r="AT34" s="222"/>
      <c r="AU34" s="222"/>
      <c r="AV34" s="222"/>
      <c r="AW34" s="222"/>
      <c r="AX34" s="222"/>
      <c r="AY34" s="222"/>
      <c r="AZ34" s="222"/>
      <c r="BA34" s="222"/>
      <c r="BB34" s="222"/>
      <c r="BC34" s="222"/>
      <c r="BD34" s="222"/>
      <c r="BE34" s="222"/>
      <c r="BF34" s="222"/>
      <c r="BG34" s="222"/>
      <c r="BH34" s="222"/>
      <c r="BI34" s="222"/>
      <c r="BJ34" s="222"/>
      <c r="BK34" s="222"/>
    </row>
    <row r="35" spans="1:63" s="223" customFormat="1" ht="15">
      <c r="A35" s="223" t="s">
        <v>178</v>
      </c>
      <c r="C35" s="224"/>
      <c r="E35" s="223">
        <f>SUM(E22:E33)</f>
        <v>1513879</v>
      </c>
      <c r="G35" s="223">
        <f>SUM(G22:G33)</f>
        <v>1564609.7649999999</v>
      </c>
      <c r="I35" s="223">
        <f>SUM(I22:I33)</f>
        <v>1617106.8817749997</v>
      </c>
      <c r="K35" s="223">
        <f>SUM(K22:K33)</f>
        <v>1671431.9881371246</v>
      </c>
      <c r="M35" s="223">
        <f>SUM(M22:M33)</f>
        <v>1727648.8755319237</v>
      </c>
      <c r="O35" s="223">
        <f>SUM(O22:O33)</f>
        <v>1785823.5643417411</v>
      </c>
      <c r="Q35" s="223">
        <f>SUM(Q22:Q33)</f>
        <v>1846024.3818232259</v>
      </c>
      <c r="S35" s="223">
        <f>SUM(S22:S33)</f>
        <v>1908322.0427711534</v>
      </c>
      <c r="U35" s="223">
        <f>SUM(U22:U33)</f>
        <v>1972789.7330039404</v>
      </c>
      <c r="W35" s="223">
        <f>SUM(W22:W33)</f>
        <v>2039503.1957695906</v>
      </c>
      <c r="Y35" s="223">
        <f>SUM(Y22:Y33)</f>
        <v>2108540.8211742495</v>
      </c>
      <c r="AA35" s="223">
        <f>SUM(AA22:AA33)</f>
        <v>2179983.738739125</v>
      </c>
      <c r="AC35" s="223">
        <f>SUM(AC22:AC33)</f>
        <v>2253915.9131952478</v>
      </c>
      <c r="AE35" s="223">
        <f>SUM(AE22:AE33)</f>
        <v>2330424.2436293387</v>
      </c>
      <c r="AG35" s="223">
        <f>SUM(AG22:AG33)</f>
        <v>2409598.6660980689</v>
      </c>
      <c r="AI35" s="223">
        <f t="shared" ref="AI35" si="266">SUM(AI22:AI33)</f>
        <v>2491532.2598320376</v>
      </c>
      <c r="AK35" s="223">
        <f t="shared" ref="AK35" si="267">SUM(AK22:AK33)</f>
        <v>2576321.3571551074</v>
      </c>
      <c r="AM35" s="223">
        <f t="shared" ref="AM35" si="268">SUM(AM22:AM33)</f>
        <v>2664065.6572490628</v>
      </c>
      <c r="AO35" s="223">
        <f t="shared" ref="AO35" si="269">SUM(AO22:AO33)</f>
        <v>2754868.3438981781</v>
      </c>
      <c r="AQ35" s="223">
        <f t="shared" ref="AQ35" si="270">SUM(AQ22:AQ33)</f>
        <v>2848836.2073529195</v>
      </c>
      <c r="AS35" s="223">
        <f t="shared" ref="AS35" si="271">SUM(AS22:AS33)</f>
        <v>2946079.7704569427</v>
      </c>
      <c r="AU35" s="223">
        <f t="shared" ref="AU35" si="272">SUM(AU22:AU33)</f>
        <v>3046713.4191865409</v>
      </c>
      <c r="AW35" s="223">
        <f t="shared" ref="AW35" si="273">SUM(AW22:AW33)</f>
        <v>3150855.5377569464</v>
      </c>
      <c r="AY35" s="223">
        <f t="shared" ref="AY35" si="274">SUM(AY22:AY33)</f>
        <v>3258628.6484552934</v>
      </c>
      <c r="BA35" s="223">
        <f t="shared" ref="BA35" si="275">SUM(BA22:BA33)</f>
        <v>3370159.5563656194</v>
      </c>
      <c r="BC35" s="223">
        <f t="shared" ref="BC35" si="276">SUM(BC22:BC33)</f>
        <v>3485579.4991570958</v>
      </c>
      <c r="BE35" s="223">
        <f t="shared" ref="BE35:BG35" si="277">SUM(BE22:BE33)</f>
        <v>3605024.3021126473</v>
      </c>
      <c r="BG35" s="223">
        <f t="shared" si="277"/>
        <v>3728634.5385813438</v>
      </c>
      <c r="BI35" s="223">
        <f t="shared" ref="BI35" si="278">SUM(BI22:BI33)</f>
        <v>3856555.6960443393</v>
      </c>
      <c r="BK35" s="223">
        <f t="shared" ref="BK35" si="279">SUM(BK22:BK33)</f>
        <v>3988938.3479907936</v>
      </c>
    </row>
    <row r="36" spans="1:6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c r="AH36" s="222"/>
      <c r="AI36" s="222"/>
      <c r="AJ36" s="222"/>
      <c r="AK36" s="222"/>
      <c r="AL36" s="222"/>
      <c r="AM36" s="222"/>
      <c r="AN36" s="222"/>
      <c r="AO36" s="222"/>
      <c r="AP36" s="222"/>
      <c r="AQ36" s="222"/>
      <c r="AR36" s="222"/>
      <c r="AS36" s="222"/>
      <c r="AT36" s="222"/>
      <c r="AU36" s="222"/>
      <c r="AV36" s="222"/>
      <c r="AW36" s="222"/>
      <c r="AX36" s="222"/>
      <c r="AY36" s="222"/>
      <c r="AZ36" s="222"/>
      <c r="BA36" s="222"/>
      <c r="BB36" s="222"/>
      <c r="BC36" s="222"/>
      <c r="BD36" s="222"/>
      <c r="BE36" s="222"/>
      <c r="BF36" s="222"/>
      <c r="BG36" s="222"/>
      <c r="BH36" s="222"/>
      <c r="BI36" s="222"/>
      <c r="BJ36" s="222"/>
      <c r="BK36" s="222"/>
    </row>
    <row r="37" spans="1:63" s="223" customFormat="1" ht="15">
      <c r="A37" s="223" t="s">
        <v>846</v>
      </c>
      <c r="C37" s="224"/>
      <c r="E37" s="223">
        <f>E11-E35</f>
        <v>2610948.7999999998</v>
      </c>
      <c r="G37" s="223">
        <f>G11-G35</f>
        <v>2663338.7299999995</v>
      </c>
      <c r="I37" s="223">
        <f>I11-I35</f>
        <v>2716540.3255999996</v>
      </c>
      <c r="K37" s="223">
        <f>K11-K35</f>
        <v>2770556.3994222493</v>
      </c>
      <c r="M37" s="223">
        <f>M11-M35</f>
        <v>2825389.2217164338</v>
      </c>
      <c r="O37" s="223">
        <f>O11-O35</f>
        <v>2881040.485337825</v>
      </c>
      <c r="Q37" s="223">
        <f>Q11-Q35</f>
        <v>2937511.2690983294</v>
      </c>
      <c r="S37" s="223">
        <f>S11-S35</f>
        <v>2994801.9994234405</v>
      </c>
      <c r="U37" s="223">
        <f>U11-U35</f>
        <v>3052912.4102455182</v>
      </c>
      <c r="W37" s="223">
        <f>W11-W35</f>
        <v>3111841.5010611024</v>
      </c>
      <c r="Y37" s="223">
        <f>Y11-Y35</f>
        <v>3171587.4930772115</v>
      </c>
      <c r="AA37" s="223">
        <f>AA11-AA35</f>
        <v>3232147.7833686215</v>
      </c>
      <c r="AC37" s="223">
        <f>AC11-AC35</f>
        <v>3293518.8969651926</v>
      </c>
      <c r="AE37" s="223">
        <f>AE11-AE35</f>
        <v>3355696.4367851126</v>
      </c>
      <c r="AG37" s="223">
        <f>AG11-AG35</f>
        <v>3418675.0313267424</v>
      </c>
      <c r="AI37" s="223">
        <f t="shared" ref="AI37" si="280">AI11-AI35</f>
        <v>3482448.2800283935</v>
      </c>
      <c r="AK37" s="223">
        <f t="shared" ref="AK37" si="281">AK11-AK35</f>
        <v>3547008.6962018344</v>
      </c>
      <c r="AM37" s="223">
        <f t="shared" ref="AM37" si="282">AM11-AM35</f>
        <v>3612347.6474418021</v>
      </c>
      <c r="AO37" s="223">
        <f t="shared" ref="AO37" si="283">AO11-AO35</f>
        <v>3678455.2934099585</v>
      </c>
      <c r="AQ37" s="223">
        <f t="shared" ref="AQ37" si="284">AQ11-AQ35</f>
        <v>3745320.5208879197</v>
      </c>
      <c r="AS37" s="223">
        <f t="shared" ref="AS37" si="285">AS11-AS35</f>
        <v>3812930.8759899158</v>
      </c>
      <c r="AU37" s="223">
        <f t="shared" ref="AU37" si="286">AU11-AU35</f>
        <v>3881272.4934214884</v>
      </c>
      <c r="AW37" s="223">
        <f t="shared" ref="AW37" si="287">AW11-AW35</f>
        <v>3950330.0226662834</v>
      </c>
      <c r="AY37" s="223">
        <f t="shared" ref="AY37" si="288">AY11-AY35</f>
        <v>4020086.5509785176</v>
      </c>
      <c r="BA37" s="223">
        <f t="shared" ref="BA37" si="289">BA11-BA35</f>
        <v>4090523.5230540363</v>
      </c>
      <c r="BC37" s="223">
        <f t="shared" ref="BC37" si="290">BC11-BC35</f>
        <v>4161620.6572480504</v>
      </c>
      <c r="BE37" s="223">
        <f t="shared" ref="BE37:BG37" si="291">BE11-BE35</f>
        <v>4233355.8582026269</v>
      </c>
      <c r="BG37" s="223">
        <f t="shared" si="291"/>
        <v>4305705.1257418133</v>
      </c>
      <c r="BI37" s="223">
        <f t="shared" ref="BI37" si="292">BI11-BI35</f>
        <v>4378642.4598868955</v>
      </c>
      <c r="BK37" s="223">
        <f t="shared" ref="BK37" si="293">BK11-BK35</f>
        <v>4452139.7618387192</v>
      </c>
    </row>
    <row r="38" spans="1:6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c r="AH38" s="222"/>
      <c r="AI38" s="222"/>
      <c r="AJ38" s="222"/>
      <c r="AK38" s="222"/>
      <c r="AL38" s="222"/>
      <c r="AM38" s="222"/>
      <c r="AN38" s="222"/>
      <c r="AO38" s="222"/>
      <c r="AP38" s="222"/>
      <c r="AQ38" s="222"/>
      <c r="AR38" s="222"/>
      <c r="AS38" s="222"/>
      <c r="AT38" s="222"/>
      <c r="AU38" s="222"/>
      <c r="AV38" s="222"/>
      <c r="AW38" s="222"/>
      <c r="AX38" s="222"/>
      <c r="AY38" s="222"/>
      <c r="AZ38" s="222"/>
      <c r="BA38" s="222"/>
      <c r="BB38" s="222"/>
      <c r="BC38" s="222"/>
      <c r="BD38" s="222"/>
      <c r="BE38" s="222"/>
      <c r="BF38" s="222"/>
      <c r="BG38" s="222"/>
      <c r="BH38" s="222"/>
      <c r="BI38" s="222"/>
      <c r="BJ38" s="222"/>
      <c r="BK38" s="222"/>
    </row>
    <row r="39" spans="1:6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c r="AH39" s="222"/>
      <c r="AI39" s="222"/>
      <c r="AJ39" s="222"/>
      <c r="AK39" s="222"/>
      <c r="AL39" s="222"/>
      <c r="AM39" s="222"/>
      <c r="AN39" s="222"/>
      <c r="AO39" s="222"/>
      <c r="AP39" s="222"/>
      <c r="AQ39" s="222"/>
      <c r="AR39" s="222"/>
      <c r="AS39" s="222"/>
      <c r="AT39" s="222"/>
      <c r="AU39" s="222"/>
      <c r="AV39" s="222"/>
      <c r="AW39" s="222"/>
      <c r="AX39" s="222"/>
      <c r="AY39" s="222"/>
      <c r="AZ39" s="222"/>
      <c r="BA39" s="222"/>
      <c r="BB39" s="222"/>
      <c r="BC39" s="222"/>
      <c r="BD39" s="222"/>
      <c r="BE39" s="222"/>
      <c r="BF39" s="222"/>
      <c r="BG39" s="222"/>
      <c r="BH39" s="222"/>
      <c r="BI39" s="222"/>
      <c r="BJ39" s="222"/>
      <c r="BK39" s="222"/>
    </row>
    <row r="40" spans="1:63" s="210" customFormat="1" ht="14.25">
      <c r="A40" s="225" t="str">
        <f>Application!C635</f>
        <v xml:space="preserve">CalHFA Perm Loan </v>
      </c>
      <c r="B40" s="226"/>
      <c r="C40" s="220"/>
      <c r="E40" s="222">
        <f>Application!AF635</f>
        <v>1176490.9828162501</v>
      </c>
      <c r="F40" s="222"/>
      <c r="G40" s="222">
        <f>$E$40</f>
        <v>1176490.9828162501</v>
      </c>
      <c r="H40" s="222"/>
      <c r="I40" s="222">
        <f>$E$40</f>
        <v>1176490.9828162501</v>
      </c>
      <c r="J40" s="222"/>
      <c r="K40" s="222">
        <f>$E$40</f>
        <v>1176490.9828162501</v>
      </c>
      <c r="L40" s="222"/>
      <c r="M40" s="222">
        <f>$E$40</f>
        <v>1176490.9828162501</v>
      </c>
      <c r="N40" s="222"/>
      <c r="O40" s="222">
        <f>$E$40</f>
        <v>1176490.9828162501</v>
      </c>
      <c r="P40" s="222"/>
      <c r="Q40" s="222">
        <f>$E$40</f>
        <v>1176490.9828162501</v>
      </c>
      <c r="R40" s="222"/>
      <c r="S40" s="222">
        <f>$E$40</f>
        <v>1176490.9828162501</v>
      </c>
      <c r="T40" s="222"/>
      <c r="U40" s="222">
        <f>$E$40</f>
        <v>1176490.9828162501</v>
      </c>
      <c r="V40" s="222"/>
      <c r="W40" s="222">
        <f>$E$40</f>
        <v>1176490.9828162501</v>
      </c>
      <c r="X40" s="222"/>
      <c r="Y40" s="222">
        <f>$E$40</f>
        <v>1176490.9828162501</v>
      </c>
      <c r="Z40" s="222"/>
      <c r="AA40" s="222">
        <f>$E$40</f>
        <v>1176490.9828162501</v>
      </c>
      <c r="AB40" s="222"/>
      <c r="AC40" s="222">
        <f>$E$40</f>
        <v>1176490.9828162501</v>
      </c>
      <c r="AD40" s="222"/>
      <c r="AE40" s="222">
        <f>$E$40</f>
        <v>1176490.9828162501</v>
      </c>
      <c r="AF40" s="222"/>
      <c r="AG40" s="222">
        <f>$E$40</f>
        <v>1176490.9828162501</v>
      </c>
      <c r="AH40" s="222"/>
      <c r="AI40" s="222">
        <f t="shared" ref="AI40" si="294">$E$40</f>
        <v>1176490.9828162501</v>
      </c>
      <c r="AJ40" s="222"/>
      <c r="AK40" s="222">
        <f t="shared" ref="AK40" si="295">$E$40</f>
        <v>1176490.9828162501</v>
      </c>
      <c r="AL40" s="222"/>
      <c r="AM40" s="222">
        <f t="shared" ref="AM40" si="296">$E$40</f>
        <v>1176490.9828162501</v>
      </c>
      <c r="AN40" s="222"/>
      <c r="AO40" s="222">
        <f t="shared" ref="AO40" si="297">$E$40</f>
        <v>1176490.9828162501</v>
      </c>
      <c r="AP40" s="222"/>
      <c r="AQ40" s="222">
        <f t="shared" ref="AQ40" si="298">$E$40</f>
        <v>1176490.9828162501</v>
      </c>
      <c r="AR40" s="222"/>
      <c r="AS40" s="222">
        <f t="shared" ref="AS40" si="299">$E$40</f>
        <v>1176490.9828162501</v>
      </c>
      <c r="AT40" s="222"/>
      <c r="AU40" s="222">
        <f t="shared" ref="AU40" si="300">$E$40</f>
        <v>1176490.9828162501</v>
      </c>
      <c r="AV40" s="222"/>
      <c r="AW40" s="222">
        <f t="shared" ref="AW40" si="301">$E$40</f>
        <v>1176490.9828162501</v>
      </c>
      <c r="AX40" s="222"/>
      <c r="AY40" s="222">
        <f t="shared" ref="AY40" si="302">$E$40</f>
        <v>1176490.9828162501</v>
      </c>
      <c r="AZ40" s="222"/>
      <c r="BA40" s="222">
        <f t="shared" ref="BA40" si="303">$E$40</f>
        <v>1176490.9828162501</v>
      </c>
      <c r="BB40" s="222"/>
      <c r="BC40" s="222">
        <f t="shared" ref="BC40" si="304">$E$40</f>
        <v>1176490.9828162501</v>
      </c>
      <c r="BD40" s="222"/>
      <c r="BE40" s="222">
        <f t="shared" ref="BE40:BK40" si="305">$E$40</f>
        <v>1176490.9828162501</v>
      </c>
      <c r="BF40" s="222"/>
      <c r="BG40" s="222">
        <f t="shared" si="305"/>
        <v>1176490.9828162501</v>
      </c>
      <c r="BH40" s="222"/>
      <c r="BI40" s="222">
        <f t="shared" si="305"/>
        <v>1176490.9828162501</v>
      </c>
      <c r="BJ40" s="222"/>
      <c r="BK40" s="222">
        <f t="shared" si="305"/>
        <v>1176490.9828162501</v>
      </c>
    </row>
    <row r="41" spans="1:63" s="210" customFormat="1" ht="14.25">
      <c r="A41" s="225" t="str">
        <f>Application!C636</f>
        <v xml:space="preserve">CalHFA Perm Loan </v>
      </c>
      <c r="B41" s="226"/>
      <c r="C41" s="220"/>
      <c r="E41" s="222">
        <f>Application!AF636</f>
        <v>1093978.5282096949</v>
      </c>
      <c r="F41" s="222"/>
      <c r="G41" s="222">
        <f>$E$41</f>
        <v>1093978.5282096949</v>
      </c>
      <c r="H41" s="222"/>
      <c r="I41" s="222">
        <f>$E$41</f>
        <v>1093978.5282096949</v>
      </c>
      <c r="J41" s="222"/>
      <c r="K41" s="222">
        <f>$E$41</f>
        <v>1093978.5282096949</v>
      </c>
      <c r="L41" s="222"/>
      <c r="M41" s="222">
        <f>$E$41</f>
        <v>1093978.5282096949</v>
      </c>
      <c r="N41" s="222"/>
      <c r="O41" s="222">
        <f>$E$41</f>
        <v>1093978.5282096949</v>
      </c>
      <c r="P41" s="222"/>
      <c r="Q41" s="222">
        <f>$E$41</f>
        <v>1093978.5282096949</v>
      </c>
      <c r="R41" s="222"/>
      <c r="S41" s="222">
        <f>$E$41</f>
        <v>1093978.5282096949</v>
      </c>
      <c r="T41" s="222"/>
      <c r="U41" s="222">
        <f>$E$41</f>
        <v>1093978.5282096949</v>
      </c>
      <c r="V41" s="222"/>
      <c r="W41" s="222">
        <f>$E$41</f>
        <v>1093978.5282096949</v>
      </c>
      <c r="X41" s="222"/>
      <c r="Y41" s="222">
        <f>$E$41</f>
        <v>1093978.5282096949</v>
      </c>
      <c r="Z41" s="222"/>
      <c r="AA41" s="222">
        <f>$E$41</f>
        <v>1093978.5282096949</v>
      </c>
      <c r="AB41" s="222"/>
      <c r="AC41" s="222">
        <f>$E$41</f>
        <v>1093978.5282096949</v>
      </c>
      <c r="AD41" s="222"/>
      <c r="AE41" s="222">
        <f>$E$41</f>
        <v>1093978.5282096949</v>
      </c>
      <c r="AF41" s="222"/>
      <c r="AG41" s="222">
        <f>$E$41</f>
        <v>1093978.5282096949</v>
      </c>
      <c r="AH41" s="222"/>
      <c r="AI41" s="222">
        <f t="shared" ref="AI41" si="306">$E$41</f>
        <v>1093978.5282096949</v>
      </c>
      <c r="AJ41" s="222"/>
      <c r="AK41" s="222">
        <f t="shared" ref="AK41" si="307">$E$41</f>
        <v>1093978.5282096949</v>
      </c>
      <c r="AL41" s="222"/>
      <c r="AM41" s="222">
        <f t="shared" ref="AM41" si="308">$E$41</f>
        <v>1093978.5282096949</v>
      </c>
      <c r="AN41" s="222"/>
      <c r="AO41" s="222">
        <f t="shared" ref="AO41" si="309">$E$41</f>
        <v>1093978.5282096949</v>
      </c>
      <c r="AP41" s="222"/>
      <c r="AQ41" s="222">
        <f t="shared" ref="AQ41" si="310">$E$41</f>
        <v>1093978.5282096949</v>
      </c>
      <c r="AR41" s="222"/>
      <c r="AS41" s="222">
        <f t="shared" ref="AS41" si="311">$E$41</f>
        <v>1093978.5282096949</v>
      </c>
      <c r="AT41" s="222"/>
      <c r="AU41" s="222">
        <f t="shared" ref="AU41" si="312">$E$41</f>
        <v>1093978.5282096949</v>
      </c>
      <c r="AV41" s="222"/>
      <c r="AW41" s="222">
        <f t="shared" ref="AW41" si="313">$E$41</f>
        <v>1093978.5282096949</v>
      </c>
      <c r="AX41" s="222"/>
      <c r="AY41" s="222">
        <f t="shared" ref="AY41" si="314">$E$41</f>
        <v>1093978.5282096949</v>
      </c>
      <c r="AZ41" s="222"/>
      <c r="BA41" s="222">
        <f t="shared" ref="BA41" si="315">$E$41</f>
        <v>1093978.5282096949</v>
      </c>
      <c r="BB41" s="222"/>
      <c r="BC41" s="222">
        <f t="shared" ref="BC41" si="316">$E$41</f>
        <v>1093978.5282096949</v>
      </c>
      <c r="BD41" s="222"/>
      <c r="BE41" s="222">
        <f t="shared" ref="BE41:BK41" si="317">$E$41</f>
        <v>1093978.5282096949</v>
      </c>
      <c r="BF41" s="222"/>
      <c r="BG41" s="222">
        <f t="shared" si="317"/>
        <v>1093978.5282096949</v>
      </c>
      <c r="BH41" s="222"/>
      <c r="BI41" s="222">
        <f t="shared" si="317"/>
        <v>1093978.5282096949</v>
      </c>
      <c r="BJ41" s="222"/>
      <c r="BK41" s="222">
        <f t="shared" si="317"/>
        <v>1093978.5282096949</v>
      </c>
    </row>
    <row r="42" spans="1:6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c r="AH42" s="222"/>
      <c r="AI42" s="232">
        <f t="shared" ref="AI42" si="318">$E$42</f>
        <v>0</v>
      </c>
      <c r="AJ42" s="222"/>
      <c r="AK42" s="232">
        <f t="shared" ref="AK42" si="319">$E$42</f>
        <v>0</v>
      </c>
      <c r="AL42" s="222"/>
      <c r="AM42" s="232">
        <f t="shared" ref="AM42" si="320">$E$42</f>
        <v>0</v>
      </c>
      <c r="AN42" s="222"/>
      <c r="AO42" s="232">
        <f t="shared" ref="AO42" si="321">$E$42</f>
        <v>0</v>
      </c>
      <c r="AP42" s="222"/>
      <c r="AQ42" s="232">
        <f t="shared" ref="AQ42" si="322">$E$42</f>
        <v>0</v>
      </c>
      <c r="AR42" s="222"/>
      <c r="AS42" s="232">
        <f t="shared" ref="AS42" si="323">$E$42</f>
        <v>0</v>
      </c>
      <c r="AT42" s="222"/>
      <c r="AU42" s="232">
        <f t="shared" ref="AU42" si="324">$E$42</f>
        <v>0</v>
      </c>
      <c r="AV42" s="222"/>
      <c r="AW42" s="232">
        <f t="shared" ref="AW42" si="325">$E$42</f>
        <v>0</v>
      </c>
      <c r="AX42" s="222"/>
      <c r="AY42" s="232">
        <f t="shared" ref="AY42" si="326">$E$42</f>
        <v>0</v>
      </c>
      <c r="AZ42" s="222"/>
      <c r="BA42" s="232">
        <f t="shared" ref="BA42" si="327">$E$42</f>
        <v>0</v>
      </c>
      <c r="BB42" s="222"/>
      <c r="BC42" s="232">
        <f t="shared" ref="BC42" si="328">$E$42</f>
        <v>0</v>
      </c>
      <c r="BD42" s="222"/>
      <c r="BE42" s="232">
        <f t="shared" ref="BE42:BK42" si="329">$E$42</f>
        <v>0</v>
      </c>
      <c r="BF42" s="222"/>
      <c r="BG42" s="232">
        <f t="shared" si="329"/>
        <v>0</v>
      </c>
      <c r="BH42" s="222"/>
      <c r="BI42" s="232">
        <f t="shared" si="329"/>
        <v>0</v>
      </c>
      <c r="BJ42" s="222"/>
      <c r="BK42" s="232">
        <f t="shared" si="329"/>
        <v>0</v>
      </c>
    </row>
    <row r="43" spans="1:63" s="223" customFormat="1" ht="15">
      <c r="A43" s="223" t="s">
        <v>847</v>
      </c>
      <c r="C43" s="224"/>
      <c r="E43" s="223">
        <f>SUM(E40:E42)</f>
        <v>2270469.5110259447</v>
      </c>
      <c r="G43" s="223">
        <f>SUM(G40:G42)</f>
        <v>2270469.5110259447</v>
      </c>
      <c r="I43" s="223">
        <f>SUM(I40:I42)</f>
        <v>2270469.5110259447</v>
      </c>
      <c r="K43" s="223">
        <f>SUM(K40:K42)</f>
        <v>2270469.5110259447</v>
      </c>
      <c r="M43" s="223">
        <f>SUM(M40:M42)</f>
        <v>2270469.5110259447</v>
      </c>
      <c r="O43" s="223">
        <f>SUM(O40:O42)</f>
        <v>2270469.5110259447</v>
      </c>
      <c r="Q43" s="223">
        <f>SUM(Q40:Q42)</f>
        <v>2270469.5110259447</v>
      </c>
      <c r="S43" s="223">
        <f>SUM(S40:S42)</f>
        <v>2270469.5110259447</v>
      </c>
      <c r="U43" s="223">
        <f>SUM(U40:U42)</f>
        <v>2270469.5110259447</v>
      </c>
      <c r="W43" s="223">
        <f>SUM(W40:W42)</f>
        <v>2270469.5110259447</v>
      </c>
      <c r="Y43" s="223">
        <f>SUM(Y40:Y42)</f>
        <v>2270469.5110259447</v>
      </c>
      <c r="AA43" s="223">
        <f>SUM(AA40:AA42)</f>
        <v>2270469.5110259447</v>
      </c>
      <c r="AC43" s="223">
        <f>SUM(AC40:AC42)</f>
        <v>2270469.5110259447</v>
      </c>
      <c r="AE43" s="223">
        <f>SUM(AE40:AE42)</f>
        <v>2270469.5110259447</v>
      </c>
      <c r="AG43" s="223">
        <f>SUM(AG40:AG42)</f>
        <v>2270469.5110259447</v>
      </c>
      <c r="AI43" s="223">
        <f t="shared" ref="AI43" si="330">SUM(AI40:AI42)</f>
        <v>2270469.5110259447</v>
      </c>
      <c r="AK43" s="223">
        <f t="shared" ref="AK43" si="331">SUM(AK40:AK42)</f>
        <v>2270469.5110259447</v>
      </c>
      <c r="AM43" s="223">
        <f t="shared" ref="AM43" si="332">SUM(AM40:AM42)</f>
        <v>2270469.5110259447</v>
      </c>
      <c r="AO43" s="223">
        <f t="shared" ref="AO43" si="333">SUM(AO40:AO42)</f>
        <v>2270469.5110259447</v>
      </c>
      <c r="AQ43" s="223">
        <f t="shared" ref="AQ43" si="334">SUM(AQ40:AQ42)</f>
        <v>2270469.5110259447</v>
      </c>
      <c r="AS43" s="223">
        <f t="shared" ref="AS43" si="335">SUM(AS40:AS42)</f>
        <v>2270469.5110259447</v>
      </c>
      <c r="AU43" s="223">
        <f t="shared" ref="AU43" si="336">SUM(AU40:AU42)</f>
        <v>2270469.5110259447</v>
      </c>
      <c r="AW43" s="223">
        <f t="shared" ref="AW43" si="337">SUM(AW40:AW42)</f>
        <v>2270469.5110259447</v>
      </c>
      <c r="AY43" s="223">
        <f t="shared" ref="AY43" si="338">SUM(AY40:AY42)</f>
        <v>2270469.5110259447</v>
      </c>
      <c r="BA43" s="223">
        <f t="shared" ref="BA43" si="339">SUM(BA40:BA42)</f>
        <v>2270469.5110259447</v>
      </c>
      <c r="BC43" s="223">
        <f t="shared" ref="BC43" si="340">SUM(BC40:BC42)</f>
        <v>2270469.5110259447</v>
      </c>
      <c r="BE43" s="223">
        <f t="shared" ref="BE43" si="341">SUM(BE40:BE42)</f>
        <v>2270469.5110259447</v>
      </c>
      <c r="BG43" s="223">
        <f t="shared" ref="BG43" si="342">SUM(BG40:BG42)</f>
        <v>2270469.5110259447</v>
      </c>
      <c r="BI43" s="223">
        <f t="shared" ref="BI43" si="343">SUM(BI40:BI42)</f>
        <v>2270469.5110259447</v>
      </c>
      <c r="BK43" s="223">
        <f t="shared" ref="BK43" si="344">SUM(BK40:BK42)</f>
        <v>2270469.5110259447</v>
      </c>
    </row>
    <row r="44" spans="1:6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c r="AR44" s="222"/>
      <c r="AS44" s="222"/>
      <c r="AT44" s="222"/>
      <c r="AU44" s="222"/>
      <c r="AV44" s="222"/>
      <c r="AW44" s="222"/>
      <c r="AX44" s="222"/>
      <c r="AY44" s="222"/>
      <c r="AZ44" s="222"/>
      <c r="BA44" s="222"/>
      <c r="BB44" s="222"/>
      <c r="BC44" s="222"/>
      <c r="BD44" s="222"/>
      <c r="BE44" s="222"/>
      <c r="BF44" s="222"/>
      <c r="BG44" s="222"/>
      <c r="BH44" s="222"/>
      <c r="BI44" s="222"/>
      <c r="BJ44" s="222"/>
      <c r="BK44" s="222"/>
    </row>
    <row r="45" spans="1:63" s="223" customFormat="1" ht="15">
      <c r="A45" s="223" t="s">
        <v>848</v>
      </c>
      <c r="C45" s="224"/>
      <c r="E45" s="223">
        <f>E37-E43</f>
        <v>340479.28897405509</v>
      </c>
      <c r="G45" s="223">
        <f>G37-G43</f>
        <v>392869.21897405479</v>
      </c>
      <c r="I45" s="223">
        <f>I37-I43</f>
        <v>446070.81457405491</v>
      </c>
      <c r="K45" s="223">
        <f>K37-K43</f>
        <v>500086.88839630457</v>
      </c>
      <c r="M45" s="223">
        <f>M37-M43</f>
        <v>554919.71069048904</v>
      </c>
      <c r="O45" s="223">
        <f>O37-O43</f>
        <v>610570.9743118803</v>
      </c>
      <c r="Q45" s="223">
        <f>Q37-Q43</f>
        <v>667041.75807238463</v>
      </c>
      <c r="S45" s="223">
        <f>S37-S43</f>
        <v>724332.48839749582</v>
      </c>
      <c r="U45" s="223">
        <f>U37-U43</f>
        <v>782442.89921957348</v>
      </c>
      <c r="W45" s="223">
        <f>W37-W43</f>
        <v>841371.99003515765</v>
      </c>
      <c r="Y45" s="223">
        <f>Y37-Y43</f>
        <v>901117.98205126682</v>
      </c>
      <c r="AA45" s="223">
        <f>AA37-AA43</f>
        <v>961678.27234267676</v>
      </c>
      <c r="AC45" s="223">
        <f>AC37-AC43</f>
        <v>1023049.3859392479</v>
      </c>
      <c r="AE45" s="223">
        <f>AE37-AE43</f>
        <v>1085226.9257591679</v>
      </c>
      <c r="AG45" s="223">
        <f>AG37-AG43</f>
        <v>1148205.5203007977</v>
      </c>
      <c r="AI45" s="223">
        <f t="shared" ref="AI45" si="345">AI37-AI43</f>
        <v>1211978.7690024488</v>
      </c>
      <c r="AK45" s="223">
        <f t="shared" ref="AK45" si="346">AK37-AK43</f>
        <v>1276539.1851758896</v>
      </c>
      <c r="AM45" s="223">
        <f t="shared" ref="AM45" si="347">AM37-AM43</f>
        <v>1341878.1364158574</v>
      </c>
      <c r="AO45" s="223">
        <f t="shared" ref="AO45" si="348">AO37-AO43</f>
        <v>1407985.7823840138</v>
      </c>
      <c r="AQ45" s="223">
        <f t="shared" ref="AQ45" si="349">AQ37-AQ43</f>
        <v>1474851.009861975</v>
      </c>
      <c r="AS45" s="223">
        <f t="shared" ref="AS45" si="350">AS37-AS43</f>
        <v>1542461.3649639711</v>
      </c>
      <c r="AU45" s="223">
        <f t="shared" ref="AU45" si="351">AU37-AU43</f>
        <v>1610802.9823955437</v>
      </c>
      <c r="AW45" s="223">
        <f t="shared" ref="AW45" si="352">AW37-AW43</f>
        <v>1679860.5116403387</v>
      </c>
      <c r="AY45" s="223">
        <f t="shared" ref="AY45" si="353">AY37-AY43</f>
        <v>1749617.0399525729</v>
      </c>
      <c r="BA45" s="223">
        <f t="shared" ref="BA45" si="354">BA37-BA43</f>
        <v>1820054.0120280916</v>
      </c>
      <c r="BC45" s="223">
        <f t="shared" ref="BC45" si="355">BC37-BC43</f>
        <v>1891151.1462221057</v>
      </c>
      <c r="BE45" s="223">
        <f t="shared" ref="BE45:BG45" si="356">BE37-BE43</f>
        <v>1962886.3471766822</v>
      </c>
      <c r="BG45" s="223">
        <f t="shared" si="356"/>
        <v>2035235.6147158686</v>
      </c>
      <c r="BI45" s="223">
        <f t="shared" ref="BI45" si="357">BI37-BI43</f>
        <v>2108172.9488609508</v>
      </c>
      <c r="BK45" s="223">
        <f t="shared" ref="BK45" si="358">BK37-BK43</f>
        <v>2181670.2508127745</v>
      </c>
    </row>
    <row r="46" spans="1:6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c r="AH46" s="222"/>
      <c r="AI46" s="222"/>
      <c r="AJ46" s="222"/>
      <c r="AK46" s="222"/>
      <c r="AL46" s="222"/>
      <c r="AM46" s="222"/>
      <c r="AN46" s="222"/>
      <c r="AO46" s="222"/>
      <c r="AP46" s="222"/>
      <c r="AQ46" s="222"/>
      <c r="AR46" s="222"/>
      <c r="AS46" s="222"/>
      <c r="AT46" s="222"/>
      <c r="AU46" s="222"/>
      <c r="AV46" s="222"/>
      <c r="AW46" s="222"/>
      <c r="AX46" s="222"/>
      <c r="AY46" s="222"/>
      <c r="AZ46" s="222"/>
      <c r="BA46" s="222"/>
      <c r="BB46" s="222"/>
      <c r="BC46" s="222"/>
      <c r="BD46" s="222"/>
      <c r="BE46" s="222"/>
      <c r="BF46" s="222"/>
      <c r="BG46" s="222"/>
      <c r="BH46" s="222"/>
      <c r="BI46" s="222"/>
      <c r="BJ46" s="222"/>
      <c r="BK46" s="222"/>
    </row>
    <row r="47" spans="1:63" s="227" customFormat="1" ht="14.25">
      <c r="A47" s="227" t="s">
        <v>850</v>
      </c>
      <c r="C47" s="220"/>
      <c r="E47" s="227">
        <f>E45/(E4+E6+E8)</f>
        <v>7.8416685546328094E-2</v>
      </c>
      <c r="G47" s="227">
        <f>G45/(G4+G6+G8)</f>
        <v>8.8275852571697913E-2</v>
      </c>
      <c r="I47" s="227">
        <f>I45/(I4+I6+I8)</f>
        <v>9.7785364974838099E-2</v>
      </c>
      <c r="K47" s="227">
        <f>K45/(K4+K6+K8)</f>
        <v>0.10695267581226633</v>
      </c>
      <c r="M47" s="227">
        <f>M45/(M4+M6+M8)</f>
        <v>0.11578504591792536</v>
      </c>
      <c r="O47" s="227">
        <f>O45/(O4+O6+O8)</f>
        <v>0.1242895484894429</v>
      </c>
      <c r="Q47" s="227">
        <f>Q45/(Q4+Q6+Q8)</f>
        <v>0.1324730735615369</v>
      </c>
      <c r="S47" s="227">
        <f>S45/(S4+S6+S8)</f>
        <v>0.14034233236930851</v>
      </c>
      <c r="U47" s="227">
        <f>U45/(U4+U6+U8)</f>
        <v>0.14790386160409963</v>
      </c>
      <c r="W47" s="227">
        <f>W45/(W4+W6+W8)</f>
        <v>0.15516402756452352</v>
      </c>
      <c r="Y47" s="227">
        <f>Y45/(Y4+Y6+Y8)</f>
        <v>0.16212903020521829</v>
      </c>
      <c r="AA47" s="227">
        <f>AA45/(AA4+AA6+AA8)</f>
        <v>0.16880490708580284</v>
      </c>
      <c r="AC47" s="227">
        <f>AC45/(AC4+AC6+AC8)</f>
        <v>0.17519753722246567</v>
      </c>
      <c r="AE47" s="227">
        <f>AE45/(AE4+AE6+AE8)</f>
        <v>0.18131264484454529</v>
      </c>
      <c r="AG47" s="227">
        <f>AG45/(AG4+AG6+AG8)</f>
        <v>0.18715580305841148</v>
      </c>
      <c r="AI47" s="227">
        <f t="shared" ref="AI47" si="359">AI45/(AI4+AI6+AI8)</f>
        <v>0.19273243742090021</v>
      </c>
      <c r="AK47" s="227">
        <f t="shared" ref="AK47" si="360">AK45/(AK4+AK6+AK8)</f>
        <v>0.19804782942449103</v>
      </c>
      <c r="AM47" s="227">
        <f t="shared" ref="AM47" si="361">AM45/(AM4+AM6+AM8)</f>
        <v>0.2031071198963772</v>
      </c>
      <c r="AO47" s="227">
        <f t="shared" ref="AO47" si="362">AO45/(AO4+AO6+AO8)</f>
        <v>0.2079153123135109</v>
      </c>
      <c r="AQ47" s="227">
        <f t="shared" ref="AQ47" si="363">AQ45/(AQ4+AQ6+AQ8)</f>
        <v>0.21247727603566652</v>
      </c>
      <c r="AS47" s="227">
        <f t="shared" ref="AS47" si="364">AS45/(AS4+AS6+AS8)</f>
        <v>0.21679774945850772</v>
      </c>
      <c r="AU47" s="227">
        <f t="shared" ref="AU47" si="365">AU45/(AU4+AU6+AU8)</f>
        <v>0.22088134308860069</v>
      </c>
      <c r="AW47" s="227">
        <f t="shared" ref="AW47" si="366">AW45/(AW4+AW6+AW8)</f>
        <v>0.22473254254226363</v>
      </c>
      <c r="AY47" s="227">
        <f t="shared" ref="AY47" si="367">AY45/(AY4+AY6+AY8)</f>
        <v>0.22835571147010078</v>
      </c>
      <c r="BA47" s="227">
        <f t="shared" ref="BA47" si="368">BA45/(BA4+BA6+BA8)</f>
        <v>0.2317550944090209</v>
      </c>
      <c r="BC47" s="227">
        <f t="shared" ref="BC47" si="369">BC45/(BC4+BC6+BC8)</f>
        <v>0.23493481956349849</v>
      </c>
      <c r="BE47" s="227">
        <f t="shared" ref="BE47:BG47" si="370">BE45/(BE4+BE6+BE8)</f>
        <v>0.23789890151779072</v>
      </c>
      <c r="BG47" s="227">
        <f t="shared" si="370"/>
        <v>0.24065124388078238</v>
      </c>
      <c r="BI47" s="227">
        <f t="shared" ref="BI47" si="371">BI45/(BI4+BI6+BI8)</f>
        <v>0.24319564186509013</v>
      </c>
      <c r="BK47" s="227">
        <f t="shared" ref="BK47" si="372">BK45/(BK4+BK6+BK8)</f>
        <v>0.24553578480201935</v>
      </c>
    </row>
    <row r="48" spans="1:63" s="227" customFormat="1" ht="14.25">
      <c r="A48" s="227" t="s">
        <v>851</v>
      </c>
      <c r="C48" s="220"/>
      <c r="E48" s="227">
        <f>E45/E43</f>
        <v>0.14995985954473556</v>
      </c>
      <c r="G48" s="227">
        <f>G45/G43</f>
        <v>0.17303435129438541</v>
      </c>
      <c r="I48" s="227">
        <f>I45/I43</f>
        <v>0.1964663310420281</v>
      </c>
      <c r="K48" s="227">
        <f>K45/K43</f>
        <v>0.22025703757208043</v>
      </c>
      <c r="M48" s="227">
        <f>M45/M43</f>
        <v>0.24440747078772287</v>
      </c>
      <c r="O48" s="227">
        <f>O45/O43</f>
        <v>0.26891837628596249</v>
      </c>
      <c r="Q48" s="227">
        <f>Q45/Q43</f>
        <v>0.29379022921605852</v>
      </c>
      <c r="S48" s="227">
        <f>S45/S43</f>
        <v>0.31902321739180528</v>
      </c>
      <c r="U48" s="227">
        <f>U45/U43</f>
        <v>0.34461722362702651</v>
      </c>
      <c r="W48" s="227">
        <f>W45/W43</f>
        <v>0.37057180726244215</v>
      </c>
      <c r="Y48" s="227">
        <f>Y45/Y43</f>
        <v>0.39688618485085209</v>
      </c>
      <c r="AA48" s="227">
        <f>AA45/AA43</f>
        <v>0.42355920996628066</v>
      </c>
      <c r="AC48" s="227">
        <f>AC45/AC43</f>
        <v>0.45058935210143747</v>
      </c>
      <c r="AE48" s="227">
        <f>AE45/AE43</f>
        <v>0.4779746746164375</v>
      </c>
      <c r="AG48" s="227">
        <f>AG45/AG43</f>
        <v>0.50571281170032722</v>
      </c>
      <c r="AI48" s="227">
        <f t="shared" ref="AI48" si="373">AI45/AI43</f>
        <v>0.53380094430547909</v>
      </c>
      <c r="AK48" s="227">
        <f t="shared" ref="AK48" si="374">AK45/AK43</f>
        <v>0.56223577501336575</v>
      </c>
      <c r="AM48" s="227">
        <f t="shared" ref="AM48" si="375">AM45/AM43</f>
        <v>0.59101350178867196</v>
      </c>
      <c r="AO48" s="227">
        <f t="shared" ref="AO48" si="376">AO45/AO43</f>
        <v>0.62012979057701367</v>
      </c>
      <c r="AQ48" s="227">
        <f t="shared" ref="AQ48" si="377">AQ45/AQ43</f>
        <v>0.64957974669985419</v>
      </c>
      <c r="AS48" s="227">
        <f t="shared" ref="AS48" si="378">AS45/AS43</f>
        <v>0.67935788499841487</v>
      </c>
      <c r="AU48" s="227">
        <f t="shared" ref="AU48" si="379">AU45/AU43</f>
        <v>0.7094580986765503</v>
      </c>
      <c r="AW48" s="227">
        <f t="shared" ref="AW48" si="380">AW45/AW43</f>
        <v>0.73987362679064084</v>
      </c>
      <c r="AY48" s="227">
        <f t="shared" ref="AY48" si="381">AY45/AY43</f>
        <v>0.77059702033258437</v>
      </c>
      <c r="BA48" s="227">
        <f t="shared" ref="BA48" si="382">BA45/BA43</f>
        <v>0.8016201068499148</v>
      </c>
      <c r="BC48" s="227">
        <f t="shared" ref="BC48" si="383">BC45/BC43</f>
        <v>0.83293395354494826</v>
      </c>
      <c r="BE48" s="227">
        <f t="shared" ref="BE48:BG48" si="384">BE45/BE43</f>
        <v>0.86452882879265069</v>
      </c>
      <c r="BG48" s="227">
        <f t="shared" si="384"/>
        <v>0.89639416201463007</v>
      </c>
      <c r="BI48" s="227">
        <f t="shared" ref="BI48" si="385">BI45/BI43</f>
        <v>0.9285185018442913</v>
      </c>
      <c r="BK48" s="227">
        <f t="shared" ref="BK48" si="386">BK45/BK43</f>
        <v>0.96088947251573309</v>
      </c>
    </row>
    <row r="49" spans="1:63" s="228" customFormat="1" ht="14.25">
      <c r="A49" s="228" t="s">
        <v>849</v>
      </c>
      <c r="C49" s="229"/>
      <c r="E49" s="1268">
        <f>E37/E43</f>
        <v>1.1499598595447356</v>
      </c>
      <c r="G49" s="228">
        <f>G37/G43</f>
        <v>1.1730343512943855</v>
      </c>
      <c r="I49" s="228">
        <f>I37/I43</f>
        <v>1.196466331042028</v>
      </c>
      <c r="K49" s="228">
        <f>K37/K43</f>
        <v>1.2202570375720805</v>
      </c>
      <c r="M49" s="228">
        <f>M37/M43</f>
        <v>1.2444074707877228</v>
      </c>
      <c r="O49" s="228">
        <f>O37/O43</f>
        <v>1.2689183762859626</v>
      </c>
      <c r="Q49" s="228">
        <f>Q37/Q43</f>
        <v>1.2937902292160586</v>
      </c>
      <c r="S49" s="228">
        <f>S37/S43</f>
        <v>1.3190232173918053</v>
      </c>
      <c r="U49" s="228">
        <f>U37/U43</f>
        <v>1.3446172236270264</v>
      </c>
      <c r="W49" s="228">
        <f>W37/W43</f>
        <v>1.3705718072624422</v>
      </c>
      <c r="Y49" s="228">
        <f>Y37/Y43</f>
        <v>1.396886184850852</v>
      </c>
      <c r="AA49" s="228">
        <f>AA37/AA43</f>
        <v>1.4235592099662806</v>
      </c>
      <c r="AC49" s="228">
        <f>AC37/AC43</f>
        <v>1.4505893521014375</v>
      </c>
      <c r="AE49" s="228">
        <f>AE37/AE43</f>
        <v>1.4779746746164375</v>
      </c>
      <c r="AG49" s="228">
        <f>AG37/AG43</f>
        <v>1.5057128117003273</v>
      </c>
      <c r="AI49" s="228">
        <f t="shared" ref="AI49" si="387">AI37/AI43</f>
        <v>1.5338009443054792</v>
      </c>
      <c r="AK49" s="228">
        <f t="shared" ref="AK49" si="388">AK37/AK43</f>
        <v>1.5622357750133657</v>
      </c>
      <c r="AM49" s="228">
        <f t="shared" ref="AM49" si="389">AM37/AM43</f>
        <v>1.591013501788672</v>
      </c>
      <c r="AO49" s="228">
        <f t="shared" ref="AO49" si="390">AO37/AO43</f>
        <v>1.6201297905770138</v>
      </c>
      <c r="AQ49" s="228">
        <f t="shared" ref="AQ49" si="391">AQ37/AQ43</f>
        <v>1.6495797466998543</v>
      </c>
      <c r="AS49" s="228">
        <f t="shared" ref="AS49" si="392">AS37/AS43</f>
        <v>1.679357884998415</v>
      </c>
      <c r="AU49" s="228">
        <f t="shared" ref="AU49" si="393">AU37/AU43</f>
        <v>1.7094580986765504</v>
      </c>
      <c r="AW49" s="228">
        <f t="shared" ref="AW49" si="394">AW37/AW43</f>
        <v>1.7398736267906409</v>
      </c>
      <c r="AY49" s="228">
        <f t="shared" ref="AY49" si="395">AY37/AY43</f>
        <v>1.7705970203325845</v>
      </c>
      <c r="BA49" s="228">
        <f t="shared" ref="BA49" si="396">BA37/BA43</f>
        <v>1.8016201068499147</v>
      </c>
      <c r="BC49" s="228">
        <f t="shared" ref="BC49" si="397">BC37/BC43</f>
        <v>1.8329339535449483</v>
      </c>
      <c r="BE49" s="228">
        <f t="shared" ref="BE49:BG49" si="398">BE37/BE43</f>
        <v>1.8645288287926507</v>
      </c>
      <c r="BG49" s="228">
        <f t="shared" si="398"/>
        <v>1.8963941620146301</v>
      </c>
      <c r="BI49" s="228">
        <f t="shared" ref="BI49" si="399">BI37/BI43</f>
        <v>1.9285185018442912</v>
      </c>
      <c r="BK49" s="228">
        <f t="shared" ref="BK49" si="400">BK37/BK43</f>
        <v>1.9608894725157331</v>
      </c>
    </row>
    <row r="50" spans="1:63"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c r="AH50" s="232"/>
      <c r="AI50" s="232"/>
      <c r="AJ50" s="232"/>
      <c r="AK50" s="232"/>
      <c r="AL50" s="232"/>
      <c r="AM50" s="232"/>
      <c r="AN50" s="232"/>
      <c r="AO50" s="232"/>
      <c r="AP50" s="232"/>
      <c r="AQ50" s="232"/>
      <c r="AR50" s="232"/>
      <c r="AS50" s="232"/>
      <c r="AT50" s="232"/>
      <c r="AU50" s="232"/>
      <c r="AV50" s="232"/>
      <c r="AW50" s="232"/>
      <c r="AX50" s="232"/>
      <c r="AY50" s="232"/>
      <c r="AZ50" s="232"/>
      <c r="BA50" s="232"/>
      <c r="BB50" s="232"/>
      <c r="BC50" s="232"/>
      <c r="BD50" s="232"/>
      <c r="BE50" s="232"/>
      <c r="BF50" s="232"/>
      <c r="BG50" s="232"/>
      <c r="BH50" s="232"/>
      <c r="BI50" s="232"/>
      <c r="BJ50" s="232"/>
      <c r="BK50" s="232"/>
    </row>
    <row r="51" spans="1:63"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c r="AH51" s="956"/>
      <c r="AI51" s="956"/>
      <c r="AJ51" s="956"/>
      <c r="AK51" s="956"/>
      <c r="AL51" s="956"/>
      <c r="AM51" s="956"/>
      <c r="AN51" s="956"/>
      <c r="AO51" s="956"/>
      <c r="AP51" s="956"/>
      <c r="AQ51" s="956"/>
      <c r="AR51" s="956"/>
      <c r="AS51" s="956"/>
      <c r="AT51" s="956"/>
      <c r="AU51" s="956"/>
      <c r="AV51" s="956"/>
      <c r="AW51" s="956"/>
      <c r="AX51" s="956"/>
      <c r="AY51" s="956"/>
      <c r="AZ51" s="956"/>
      <c r="BA51" s="956"/>
      <c r="BB51" s="956"/>
      <c r="BC51" s="956"/>
      <c r="BD51" s="956"/>
      <c r="BE51" s="956"/>
      <c r="BF51" s="956"/>
      <c r="BG51" s="956"/>
      <c r="BH51" s="956"/>
      <c r="BI51" s="956"/>
      <c r="BJ51" s="956"/>
      <c r="BK51" s="956"/>
    </row>
    <row r="52" spans="1:63" s="3" customFormat="1">
      <c r="A52" s="2693" t="s">
        <v>2747</v>
      </c>
      <c r="B52" s="2693"/>
      <c r="C52" s="2693"/>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c r="AH52" s="956"/>
      <c r="AI52" s="956"/>
      <c r="AJ52" s="956"/>
      <c r="AK52" s="956"/>
      <c r="AL52" s="956"/>
      <c r="AM52" s="956"/>
      <c r="AN52" s="956"/>
      <c r="AO52" s="956"/>
      <c r="AP52" s="956"/>
      <c r="AQ52" s="956"/>
      <c r="AR52" s="956"/>
      <c r="AS52" s="956"/>
      <c r="AT52" s="956"/>
      <c r="AU52" s="956"/>
      <c r="AV52" s="956"/>
      <c r="AW52" s="956"/>
      <c r="AX52" s="956"/>
      <c r="AY52" s="956"/>
      <c r="AZ52" s="956"/>
      <c r="BA52" s="956"/>
      <c r="BB52" s="956"/>
      <c r="BC52" s="956"/>
      <c r="BD52" s="956"/>
      <c r="BE52" s="956"/>
      <c r="BF52" s="956"/>
      <c r="BG52" s="956"/>
      <c r="BH52" s="956"/>
      <c r="BI52" s="956"/>
      <c r="BJ52" s="956"/>
      <c r="BK52" s="956"/>
    </row>
    <row r="53" spans="1:63" s="958" customFormat="1">
      <c r="A53" s="958" t="s">
        <v>853</v>
      </c>
      <c r="C53" s="959">
        <v>1.03</v>
      </c>
      <c r="E53" s="960">
        <v>7500</v>
      </c>
      <c r="G53" s="956">
        <f>E53*$C$53</f>
        <v>7725</v>
      </c>
      <c r="I53" s="956">
        <f>G53*$C$53</f>
        <v>7956.75</v>
      </c>
      <c r="K53" s="956">
        <f>I53*$C$53</f>
        <v>8195.4524999999994</v>
      </c>
      <c r="M53" s="956">
        <f>K53*$C$53</f>
        <v>8441.3160749999988</v>
      </c>
      <c r="O53" s="956">
        <f>M53*$C$53</f>
        <v>8694.5555572499998</v>
      </c>
      <c r="Q53" s="956">
        <f>O53*$C$53</f>
        <v>8955.3922239674994</v>
      </c>
      <c r="S53" s="956">
        <f>Q53*$C$53</f>
        <v>9224.0539906865251</v>
      </c>
      <c r="U53" s="956">
        <f>S53*$C$53</f>
        <v>9500.7756104071213</v>
      </c>
      <c r="W53" s="956">
        <f>U53*$C$53</f>
        <v>9785.7988787193353</v>
      </c>
      <c r="Y53" s="956">
        <f>W53*$C$53</f>
        <v>10079.372845080916</v>
      </c>
      <c r="AA53" s="956">
        <f>Y53*$C$53</f>
        <v>10381.754030433343</v>
      </c>
      <c r="AC53" s="956">
        <f>AA53*$C$53</f>
        <v>10693.206651346343</v>
      </c>
      <c r="AE53" s="956">
        <f>AC53*$C$53</f>
        <v>11014.002850886734</v>
      </c>
      <c r="AG53" s="956">
        <f>AE53*$C$53</f>
        <v>11344.422936413337</v>
      </c>
      <c r="AI53" s="956">
        <f t="shared" ref="AI53:AI57" si="401">AG53*$C$53</f>
        <v>11684.755624505737</v>
      </c>
      <c r="AK53" s="956">
        <f t="shared" ref="AK53:AK57" si="402">AI53*$C$53</f>
        <v>12035.298293240909</v>
      </c>
      <c r="AM53" s="956">
        <f t="shared" ref="AM53:AM57" si="403">AK53*$C$53</f>
        <v>12396.357242038137</v>
      </c>
      <c r="AO53" s="956">
        <f t="shared" ref="AO53:AO57" si="404">AM53*$C$53</f>
        <v>12768.247959299282</v>
      </c>
      <c r="AQ53" s="956">
        <f t="shared" ref="AQ53:AQ57" si="405">AO53*$C$53</f>
        <v>13151.29539807826</v>
      </c>
      <c r="AS53" s="956">
        <f t="shared" ref="AS53:AS57" si="406">AQ53*$C$53</f>
        <v>13545.834260020609</v>
      </c>
      <c r="AU53" s="956">
        <f t="shared" ref="AU53:AU57" si="407">AS53*$C$53</f>
        <v>13952.209287821228</v>
      </c>
      <c r="AW53" s="956">
        <f t="shared" ref="AW53:AW57" si="408">AU53*$C$53</f>
        <v>14370.775566455864</v>
      </c>
      <c r="AY53" s="956">
        <f t="shared" ref="AY53:AY57" si="409">AW53*$C$53</f>
        <v>14801.898833449541</v>
      </c>
      <c r="BA53" s="956">
        <f t="shared" ref="BA53:BA57" si="410">AY53*$C$53</f>
        <v>15245.955798453027</v>
      </c>
      <c r="BC53" s="956">
        <f t="shared" ref="BC53:BC57" si="411">BA53*$C$53</f>
        <v>15703.334472406619</v>
      </c>
      <c r="BE53" s="956">
        <f t="shared" ref="BE53:BE57" si="412">BC53*$C$53</f>
        <v>16174.434506578818</v>
      </c>
      <c r="BG53" s="956">
        <f t="shared" ref="BG53:BG57" si="413">BE53*$C$53</f>
        <v>16659.667541776183</v>
      </c>
      <c r="BI53" s="956">
        <f t="shared" ref="BI53:BI57" si="414">BG53*$C$53</f>
        <v>17159.457568029469</v>
      </c>
      <c r="BK53" s="956">
        <f t="shared" ref="BK53:BK57" si="415">BI53*$C$53</f>
        <v>17674.241295070355</v>
      </c>
    </row>
    <row r="54" spans="1:63" s="3" customFormat="1">
      <c r="A54" s="3" t="s">
        <v>854</v>
      </c>
      <c r="C54" s="954"/>
      <c r="E54" s="961">
        <v>25000</v>
      </c>
      <c r="F54" s="956"/>
      <c r="G54" s="956">
        <f t="shared" ref="G54:AE57" si="416">E54*$C$53</f>
        <v>25750</v>
      </c>
      <c r="H54" s="956"/>
      <c r="I54" s="956">
        <f t="shared" si="416"/>
        <v>26522.5</v>
      </c>
      <c r="J54" s="956"/>
      <c r="K54" s="956">
        <f t="shared" si="416"/>
        <v>27318.174999999999</v>
      </c>
      <c r="L54" s="956"/>
      <c r="M54" s="956">
        <f t="shared" si="416"/>
        <v>28137.720249999998</v>
      </c>
      <c r="N54" s="956"/>
      <c r="O54" s="956">
        <f t="shared" si="416"/>
        <v>28981.851857499998</v>
      </c>
      <c r="P54" s="956"/>
      <c r="Q54" s="956">
        <f t="shared" si="416"/>
        <v>29851.307413225</v>
      </c>
      <c r="R54" s="956"/>
      <c r="S54" s="956">
        <f t="shared" si="416"/>
        <v>30746.84663562175</v>
      </c>
      <c r="T54" s="956"/>
      <c r="U54" s="956">
        <f t="shared" si="416"/>
        <v>31669.252034690402</v>
      </c>
      <c r="V54" s="956"/>
      <c r="W54" s="956">
        <f t="shared" si="416"/>
        <v>32619.329595731117</v>
      </c>
      <c r="X54" s="956"/>
      <c r="Y54" s="956">
        <f t="shared" si="416"/>
        <v>33597.909483603049</v>
      </c>
      <c r="Z54" s="956"/>
      <c r="AA54" s="956">
        <f t="shared" si="416"/>
        <v>34605.846768111143</v>
      </c>
      <c r="AB54" s="956"/>
      <c r="AC54" s="956">
        <f t="shared" si="416"/>
        <v>35644.02217115448</v>
      </c>
      <c r="AD54" s="956"/>
      <c r="AE54" s="956">
        <f t="shared" si="416"/>
        <v>36713.342836289114</v>
      </c>
      <c r="AF54" s="956"/>
      <c r="AG54" s="956">
        <f>AE54*$C$53</f>
        <v>37814.743121377789</v>
      </c>
      <c r="AH54" s="956"/>
      <c r="AI54" s="956">
        <f t="shared" si="401"/>
        <v>38949.185415019121</v>
      </c>
      <c r="AJ54" s="956"/>
      <c r="AK54" s="956">
        <f t="shared" si="402"/>
        <v>40117.660977469699</v>
      </c>
      <c r="AL54" s="956"/>
      <c r="AM54" s="956">
        <f t="shared" si="403"/>
        <v>41321.190806793791</v>
      </c>
      <c r="AN54" s="956"/>
      <c r="AO54" s="956">
        <f t="shared" si="404"/>
        <v>42560.826530997605</v>
      </c>
      <c r="AP54" s="956"/>
      <c r="AQ54" s="956">
        <f t="shared" si="405"/>
        <v>43837.651326927531</v>
      </c>
      <c r="AR54" s="956"/>
      <c r="AS54" s="956">
        <f t="shared" si="406"/>
        <v>45152.78086673536</v>
      </c>
      <c r="AT54" s="956"/>
      <c r="AU54" s="956">
        <f t="shared" si="407"/>
        <v>46507.364292737424</v>
      </c>
      <c r="AV54" s="956"/>
      <c r="AW54" s="956">
        <f t="shared" si="408"/>
        <v>47902.585221519548</v>
      </c>
      <c r="AX54" s="956"/>
      <c r="AY54" s="956">
        <f t="shared" si="409"/>
        <v>49339.662778165133</v>
      </c>
      <c r="AZ54" s="956"/>
      <c r="BA54" s="956">
        <f t="shared" si="410"/>
        <v>50819.852661510085</v>
      </c>
      <c r="BB54" s="956"/>
      <c r="BC54" s="956">
        <f t="shared" si="411"/>
        <v>52344.448241355392</v>
      </c>
      <c r="BD54" s="956"/>
      <c r="BE54" s="956">
        <f t="shared" si="412"/>
        <v>53914.781688596056</v>
      </c>
      <c r="BF54" s="956"/>
      <c r="BG54" s="956">
        <f t="shared" si="413"/>
        <v>55532.22513925394</v>
      </c>
      <c r="BH54" s="956"/>
      <c r="BI54" s="956">
        <f t="shared" si="414"/>
        <v>57198.191893431562</v>
      </c>
      <c r="BJ54" s="956"/>
      <c r="BK54" s="956">
        <f t="shared" si="415"/>
        <v>58914.137650234508</v>
      </c>
    </row>
    <row r="55" spans="1:63" s="3" customFormat="1">
      <c r="A55" s="3" t="s">
        <v>855</v>
      </c>
      <c r="C55" s="954"/>
      <c r="E55" s="961"/>
      <c r="F55" s="956"/>
      <c r="G55" s="956">
        <f t="shared" si="416"/>
        <v>0</v>
      </c>
      <c r="H55" s="956"/>
      <c r="I55" s="956">
        <f t="shared" si="416"/>
        <v>0</v>
      </c>
      <c r="J55" s="956"/>
      <c r="K55" s="956">
        <f t="shared" si="416"/>
        <v>0</v>
      </c>
      <c r="L55" s="956"/>
      <c r="M55" s="956">
        <f t="shared" si="416"/>
        <v>0</v>
      </c>
      <c r="N55" s="956"/>
      <c r="O55" s="956">
        <f t="shared" si="416"/>
        <v>0</v>
      </c>
      <c r="P55" s="956"/>
      <c r="Q55" s="956">
        <f t="shared" si="416"/>
        <v>0</v>
      </c>
      <c r="R55" s="956"/>
      <c r="S55" s="956">
        <f t="shared" si="416"/>
        <v>0</v>
      </c>
      <c r="T55" s="956"/>
      <c r="U55" s="956">
        <f t="shared" si="416"/>
        <v>0</v>
      </c>
      <c r="V55" s="956"/>
      <c r="W55" s="956">
        <f t="shared" si="416"/>
        <v>0</v>
      </c>
      <c r="X55" s="956"/>
      <c r="Y55" s="956">
        <f t="shared" si="416"/>
        <v>0</v>
      </c>
      <c r="Z55" s="956"/>
      <c r="AA55" s="956">
        <f t="shared" si="416"/>
        <v>0</v>
      </c>
      <c r="AB55" s="956"/>
      <c r="AC55" s="956">
        <f t="shared" si="416"/>
        <v>0</v>
      </c>
      <c r="AD55" s="956"/>
      <c r="AE55" s="956">
        <f t="shared" si="416"/>
        <v>0</v>
      </c>
      <c r="AF55" s="956"/>
      <c r="AG55" s="956">
        <f>AE55*$C$53</f>
        <v>0</v>
      </c>
      <c r="AH55" s="956"/>
      <c r="AI55" s="956">
        <f t="shared" si="401"/>
        <v>0</v>
      </c>
      <c r="AJ55" s="956"/>
      <c r="AK55" s="956">
        <f t="shared" si="402"/>
        <v>0</v>
      </c>
      <c r="AL55" s="956"/>
      <c r="AM55" s="956">
        <f t="shared" si="403"/>
        <v>0</v>
      </c>
      <c r="AN55" s="956"/>
      <c r="AO55" s="956">
        <f t="shared" si="404"/>
        <v>0</v>
      </c>
      <c r="AP55" s="956"/>
      <c r="AQ55" s="956">
        <f t="shared" si="405"/>
        <v>0</v>
      </c>
      <c r="AR55" s="956"/>
      <c r="AS55" s="956">
        <f t="shared" si="406"/>
        <v>0</v>
      </c>
      <c r="AT55" s="956"/>
      <c r="AU55" s="956">
        <f t="shared" si="407"/>
        <v>0</v>
      </c>
      <c r="AV55" s="956"/>
      <c r="AW55" s="956">
        <f t="shared" si="408"/>
        <v>0</v>
      </c>
      <c r="AX55" s="956"/>
      <c r="AY55" s="956">
        <f t="shared" si="409"/>
        <v>0</v>
      </c>
      <c r="AZ55" s="956"/>
      <c r="BA55" s="956">
        <f t="shared" si="410"/>
        <v>0</v>
      </c>
      <c r="BB55" s="956"/>
      <c r="BC55" s="956">
        <f t="shared" si="411"/>
        <v>0</v>
      </c>
      <c r="BD55" s="956"/>
      <c r="BE55" s="956">
        <f t="shared" si="412"/>
        <v>0</v>
      </c>
      <c r="BF55" s="956"/>
      <c r="BG55" s="956">
        <f t="shared" si="413"/>
        <v>0</v>
      </c>
      <c r="BH55" s="956"/>
      <c r="BI55" s="956">
        <f t="shared" si="414"/>
        <v>0</v>
      </c>
      <c r="BJ55" s="956"/>
      <c r="BK55" s="956">
        <f t="shared" si="415"/>
        <v>0</v>
      </c>
    </row>
    <row r="56" spans="1:63" s="3" customFormat="1">
      <c r="A56" s="962" t="s">
        <v>2779</v>
      </c>
      <c r="B56" s="962"/>
      <c r="C56" s="954"/>
      <c r="E56" s="961"/>
      <c r="F56" s="956"/>
      <c r="G56" s="956">
        <f t="shared" si="416"/>
        <v>0</v>
      </c>
      <c r="H56" s="956"/>
      <c r="I56" s="956">
        <f t="shared" si="416"/>
        <v>0</v>
      </c>
      <c r="J56" s="956"/>
      <c r="K56" s="956">
        <f t="shared" si="416"/>
        <v>0</v>
      </c>
      <c r="L56" s="956"/>
      <c r="M56" s="956">
        <f t="shared" si="416"/>
        <v>0</v>
      </c>
      <c r="N56" s="956"/>
      <c r="O56" s="956">
        <f t="shared" si="416"/>
        <v>0</v>
      </c>
      <c r="P56" s="956"/>
      <c r="Q56" s="956">
        <f t="shared" si="416"/>
        <v>0</v>
      </c>
      <c r="R56" s="956"/>
      <c r="S56" s="956">
        <f t="shared" si="416"/>
        <v>0</v>
      </c>
      <c r="T56" s="956"/>
      <c r="U56" s="956">
        <f t="shared" si="416"/>
        <v>0</v>
      </c>
      <c r="V56" s="956"/>
      <c r="W56" s="956">
        <v>171958</v>
      </c>
      <c r="X56" s="956"/>
      <c r="Y56" s="956">
        <v>20159</v>
      </c>
      <c r="Z56" s="956"/>
      <c r="AA56" s="956">
        <f t="shared" si="416"/>
        <v>20763.77</v>
      </c>
      <c r="AB56" s="956"/>
      <c r="AC56" s="956">
        <f t="shared" si="416"/>
        <v>21386.683100000002</v>
      </c>
      <c r="AD56" s="956"/>
      <c r="AE56" s="956">
        <f t="shared" si="416"/>
        <v>22028.283593000004</v>
      </c>
      <c r="AF56" s="956"/>
      <c r="AG56" s="956">
        <f>AE56*$C$53</f>
        <v>22689.132100790004</v>
      </c>
      <c r="AH56" s="956"/>
      <c r="AI56" s="956">
        <f t="shared" si="401"/>
        <v>23369.806063813707</v>
      </c>
      <c r="AJ56" s="956"/>
      <c r="AK56" s="956">
        <f t="shared" si="402"/>
        <v>24070.90024572812</v>
      </c>
      <c r="AL56" s="956"/>
      <c r="AM56" s="956">
        <f t="shared" si="403"/>
        <v>24793.027253099965</v>
      </c>
      <c r="AN56" s="956"/>
      <c r="AO56" s="956">
        <f t="shared" si="404"/>
        <v>25536.818070692963</v>
      </c>
      <c r="AP56" s="956"/>
      <c r="AQ56" s="956">
        <f t="shared" si="405"/>
        <v>26302.922612813752</v>
      </c>
      <c r="AR56" s="956"/>
      <c r="AS56" s="956">
        <f t="shared" si="406"/>
        <v>27092.010291198167</v>
      </c>
      <c r="AT56" s="956"/>
      <c r="AU56" s="956">
        <f t="shared" si="407"/>
        <v>27904.770599934112</v>
      </c>
      <c r="AV56" s="956"/>
      <c r="AW56" s="956">
        <f t="shared" si="408"/>
        <v>28741.913717932137</v>
      </c>
      <c r="AX56" s="956"/>
      <c r="AY56" s="956">
        <f t="shared" si="409"/>
        <v>29604.171129470102</v>
      </c>
      <c r="AZ56" s="956"/>
      <c r="BA56" s="956">
        <f t="shared" si="410"/>
        <v>30492.296263354205</v>
      </c>
      <c r="BB56" s="956"/>
      <c r="BC56" s="956">
        <f t="shared" si="411"/>
        <v>31407.065151254832</v>
      </c>
      <c r="BD56" s="956"/>
      <c r="BE56" s="956">
        <f t="shared" si="412"/>
        <v>32349.277105792477</v>
      </c>
      <c r="BF56" s="956"/>
      <c r="BG56" s="956">
        <f t="shared" si="413"/>
        <v>33319.755418966255</v>
      </c>
      <c r="BH56" s="956"/>
      <c r="BI56" s="956">
        <f t="shared" si="414"/>
        <v>34319.348081535245</v>
      </c>
      <c r="BJ56" s="956"/>
      <c r="BK56" s="956">
        <f t="shared" si="415"/>
        <v>35348.928523981303</v>
      </c>
    </row>
    <row r="57" spans="1:63" s="3" customFormat="1">
      <c r="A57" s="962"/>
      <c r="B57" s="962"/>
      <c r="C57" s="954"/>
      <c r="E57" s="963"/>
      <c r="F57" s="956"/>
      <c r="G57" s="964">
        <f t="shared" si="416"/>
        <v>0</v>
      </c>
      <c r="H57" s="956"/>
      <c r="I57" s="964">
        <f t="shared" si="416"/>
        <v>0</v>
      </c>
      <c r="J57" s="956"/>
      <c r="K57" s="964">
        <f t="shared" si="416"/>
        <v>0</v>
      </c>
      <c r="L57" s="956"/>
      <c r="M57" s="964">
        <f t="shared" si="416"/>
        <v>0</v>
      </c>
      <c r="N57" s="956"/>
      <c r="O57" s="964">
        <f t="shared" si="416"/>
        <v>0</v>
      </c>
      <c r="P57" s="956"/>
      <c r="Q57" s="964">
        <f t="shared" si="416"/>
        <v>0</v>
      </c>
      <c r="R57" s="956"/>
      <c r="S57" s="964">
        <f t="shared" si="416"/>
        <v>0</v>
      </c>
      <c r="T57" s="956"/>
      <c r="U57" s="964">
        <f t="shared" si="416"/>
        <v>0</v>
      </c>
      <c r="V57" s="956"/>
      <c r="W57" s="964">
        <f t="shared" si="416"/>
        <v>0</v>
      </c>
      <c r="X57" s="956"/>
      <c r="Y57" s="964">
        <f t="shared" si="416"/>
        <v>0</v>
      </c>
      <c r="Z57" s="956"/>
      <c r="AA57" s="964">
        <f t="shared" si="416"/>
        <v>0</v>
      </c>
      <c r="AB57" s="956"/>
      <c r="AC57" s="964">
        <f t="shared" si="416"/>
        <v>0</v>
      </c>
      <c r="AD57" s="956"/>
      <c r="AE57" s="964">
        <f t="shared" si="416"/>
        <v>0</v>
      </c>
      <c r="AF57" s="956"/>
      <c r="AG57" s="964">
        <f>AE57*$C$53</f>
        <v>0</v>
      </c>
      <c r="AH57" s="956"/>
      <c r="AI57" s="964">
        <f t="shared" si="401"/>
        <v>0</v>
      </c>
      <c r="AJ57" s="956"/>
      <c r="AK57" s="964">
        <f t="shared" si="402"/>
        <v>0</v>
      </c>
      <c r="AL57" s="956"/>
      <c r="AM57" s="964">
        <f t="shared" si="403"/>
        <v>0</v>
      </c>
      <c r="AN57" s="956"/>
      <c r="AO57" s="964">
        <f t="shared" si="404"/>
        <v>0</v>
      </c>
      <c r="AP57" s="956"/>
      <c r="AQ57" s="964">
        <f t="shared" si="405"/>
        <v>0</v>
      </c>
      <c r="AR57" s="956"/>
      <c r="AS57" s="964">
        <f t="shared" si="406"/>
        <v>0</v>
      </c>
      <c r="AT57" s="956"/>
      <c r="AU57" s="964">
        <f t="shared" si="407"/>
        <v>0</v>
      </c>
      <c r="AV57" s="956"/>
      <c r="AW57" s="964">
        <f t="shared" si="408"/>
        <v>0</v>
      </c>
      <c r="AX57" s="956"/>
      <c r="AY57" s="964">
        <f t="shared" si="409"/>
        <v>0</v>
      </c>
      <c r="AZ57" s="956"/>
      <c r="BA57" s="964">
        <f t="shared" si="410"/>
        <v>0</v>
      </c>
      <c r="BB57" s="956"/>
      <c r="BC57" s="964">
        <f t="shared" si="411"/>
        <v>0</v>
      </c>
      <c r="BD57" s="956"/>
      <c r="BE57" s="964">
        <f t="shared" si="412"/>
        <v>0</v>
      </c>
      <c r="BF57" s="956"/>
      <c r="BG57" s="964">
        <f t="shared" si="413"/>
        <v>0</v>
      </c>
      <c r="BH57" s="956"/>
      <c r="BI57" s="964">
        <f t="shared" si="414"/>
        <v>0</v>
      </c>
      <c r="BJ57" s="956"/>
      <c r="BK57" s="964">
        <f t="shared" si="415"/>
        <v>0</v>
      </c>
    </row>
    <row r="58" spans="1:63" s="3" customFormat="1">
      <c r="A58" s="958" t="s">
        <v>852</v>
      </c>
      <c r="C58" s="957"/>
      <c r="E58" s="956">
        <f>SUM(E53:E57)</f>
        <v>32500</v>
      </c>
      <c r="F58" s="956"/>
      <c r="G58" s="956">
        <f>SUM(G53:G57)</f>
        <v>33475</v>
      </c>
      <c r="H58" s="956"/>
      <c r="I58" s="956">
        <f>SUM(I53:I57)</f>
        <v>34479.25</v>
      </c>
      <c r="J58" s="956"/>
      <c r="K58" s="956">
        <f>SUM(K53:K57)</f>
        <v>35513.627500000002</v>
      </c>
      <c r="L58" s="956"/>
      <c r="M58" s="956">
        <f>SUM(M53:M57)</f>
        <v>36579.036324999994</v>
      </c>
      <c r="N58" s="956"/>
      <c r="O58" s="956">
        <f>SUM(O53:O57)</f>
        <v>37676.40741475</v>
      </c>
      <c r="P58" s="956"/>
      <c r="Q58" s="956">
        <f>SUM(Q53:Q57)</f>
        <v>38806.699637192498</v>
      </c>
      <c r="R58" s="956"/>
      <c r="S58" s="956">
        <f>SUM(S53:S57)</f>
        <v>39970.900626308277</v>
      </c>
      <c r="T58" s="956"/>
      <c r="U58" s="956">
        <f>SUM(U53:U57)</f>
        <v>41170.027645097522</v>
      </c>
      <c r="V58" s="956"/>
      <c r="W58" s="956">
        <f>SUM(W53:W57)</f>
        <v>214363.12847445044</v>
      </c>
      <c r="X58" s="956"/>
      <c r="Y58" s="956">
        <f>SUM(Y53:Y57)</f>
        <v>63836.282328683963</v>
      </c>
      <c r="Z58" s="956"/>
      <c r="AA58" s="956">
        <f>SUM(AA53:AA57)</f>
        <v>65751.370798544493</v>
      </c>
      <c r="AB58" s="956"/>
      <c r="AC58" s="956">
        <f>SUM(AC53:AC57)</f>
        <v>67723.911922500818</v>
      </c>
      <c r="AD58" s="956"/>
      <c r="AE58" s="956">
        <f>SUM(AE53:AE57)</f>
        <v>69755.629280175854</v>
      </c>
      <c r="AF58" s="956"/>
      <c r="AG58" s="956">
        <f>SUM(AG53:AG57)</f>
        <v>71848.298158581136</v>
      </c>
      <c r="AH58" s="956"/>
      <c r="AI58" s="956">
        <f t="shared" ref="AI58" si="417">SUM(AI53:AI57)</f>
        <v>74003.747103338566</v>
      </c>
      <c r="AJ58" s="956"/>
      <c r="AK58" s="956">
        <f t="shared" ref="AK58" si="418">SUM(AK53:AK57)</f>
        <v>76223.859516438722</v>
      </c>
      <c r="AL58" s="956"/>
      <c r="AM58" s="956">
        <f t="shared" ref="AM58" si="419">SUM(AM53:AM57)</f>
        <v>78510.575301931895</v>
      </c>
      <c r="AN58" s="956"/>
      <c r="AO58" s="956">
        <f t="shared" ref="AO58" si="420">SUM(AO53:AO57)</f>
        <v>80865.892560989858</v>
      </c>
      <c r="AP58" s="956"/>
      <c r="AQ58" s="956">
        <f t="shared" ref="AQ58" si="421">SUM(AQ53:AQ57)</f>
        <v>83291.869337819546</v>
      </c>
      <c r="AR58" s="956"/>
      <c r="AS58" s="956">
        <f t="shared" ref="AS58" si="422">SUM(AS53:AS57)</f>
        <v>85790.625417954143</v>
      </c>
      <c r="AT58" s="956"/>
      <c r="AU58" s="956">
        <f t="shared" ref="AU58" si="423">SUM(AU53:AU57)</f>
        <v>88364.344180492772</v>
      </c>
      <c r="AV58" s="956"/>
      <c r="AW58" s="956">
        <f t="shared" ref="AW58" si="424">SUM(AW53:AW57)</f>
        <v>91015.274505907553</v>
      </c>
      <c r="AX58" s="956"/>
      <c r="AY58" s="956">
        <f t="shared" ref="AY58" si="425">SUM(AY53:AY57)</f>
        <v>93745.732741084765</v>
      </c>
      <c r="AZ58" s="956"/>
      <c r="BA58" s="956">
        <f t="shared" ref="BA58" si="426">SUM(BA53:BA57)</f>
        <v>96558.104723317316</v>
      </c>
      <c r="BB58" s="956"/>
      <c r="BC58" s="956">
        <f t="shared" ref="BC58" si="427">SUM(BC53:BC57)</f>
        <v>99454.847865016854</v>
      </c>
      <c r="BD58" s="956"/>
      <c r="BE58" s="956">
        <f t="shared" ref="BE58" si="428">SUM(BE53:BE57)</f>
        <v>102438.49330096736</v>
      </c>
      <c r="BF58" s="956"/>
      <c r="BG58" s="956">
        <f t="shared" ref="BG58" si="429">SUM(BG53:BG57)</f>
        <v>105511.64809999638</v>
      </c>
      <c r="BH58" s="956"/>
      <c r="BI58" s="956">
        <f t="shared" ref="BI58" si="430">SUM(BI53:BI57)</f>
        <v>108676.99754299628</v>
      </c>
      <c r="BJ58" s="956"/>
      <c r="BK58" s="956">
        <f t="shared" ref="BK58" si="431">SUM(BK53:BK57)</f>
        <v>111937.30746928617</v>
      </c>
    </row>
    <row r="59" spans="1:63"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c r="AI59" s="956"/>
      <c r="AJ59" s="956"/>
      <c r="AK59" s="956"/>
      <c r="AL59" s="956"/>
      <c r="AM59" s="956"/>
      <c r="AN59" s="956"/>
      <c r="AO59" s="956"/>
      <c r="AP59" s="956"/>
      <c r="AQ59" s="956"/>
      <c r="AR59" s="956"/>
      <c r="AS59" s="956"/>
      <c r="AT59" s="956"/>
      <c r="AU59" s="956"/>
      <c r="AV59" s="956"/>
      <c r="AW59" s="956"/>
      <c r="AX59" s="956"/>
      <c r="AY59" s="956"/>
      <c r="AZ59" s="956"/>
      <c r="BA59" s="956"/>
      <c r="BB59" s="956"/>
      <c r="BC59" s="956"/>
      <c r="BD59" s="956"/>
      <c r="BE59" s="956"/>
      <c r="BF59" s="956"/>
      <c r="BG59" s="956"/>
      <c r="BH59" s="956"/>
      <c r="BI59" s="956"/>
      <c r="BJ59" s="956"/>
      <c r="BK59" s="956"/>
    </row>
    <row r="60" spans="1:63" s="958" customFormat="1">
      <c r="A60" s="958" t="s">
        <v>857</v>
      </c>
      <c r="C60" s="965"/>
      <c r="E60" s="958">
        <f>E45-E58</f>
        <v>307979.28897405509</v>
      </c>
      <c r="G60" s="958">
        <f>G45-G58</f>
        <v>359394.21897405479</v>
      </c>
      <c r="I60" s="958">
        <f>I45-I58</f>
        <v>411591.56457405491</v>
      </c>
      <c r="K60" s="958">
        <f>K45-K58</f>
        <v>464573.26089630456</v>
      </c>
      <c r="M60" s="958">
        <f>M45-M58</f>
        <v>518340.67436548905</v>
      </c>
      <c r="O60" s="958">
        <f>O45-O58</f>
        <v>572894.56689713034</v>
      </c>
      <c r="Q60" s="958">
        <f>Q45-Q58</f>
        <v>628235.0584351921</v>
      </c>
      <c r="S60" s="958">
        <f>S45-S58</f>
        <v>684361.58777118754</v>
      </c>
      <c r="U60" s="958">
        <f>U45-U58</f>
        <v>741272.8715744759</v>
      </c>
      <c r="W60" s="958">
        <f>W45-W58</f>
        <v>627008.86156070721</v>
      </c>
      <c r="Y60" s="958">
        <f>Y45-Y58</f>
        <v>837281.69972258282</v>
      </c>
      <c r="AA60" s="958">
        <f>AA45-AA58</f>
        <v>895926.90154413227</v>
      </c>
      <c r="AC60" s="958">
        <f>AC45-AC58</f>
        <v>955325.47401674709</v>
      </c>
      <c r="AE60" s="958">
        <f>AE45-AE58</f>
        <v>1015471.296478992</v>
      </c>
      <c r="AG60" s="958">
        <f>AG45-AG58</f>
        <v>1076357.2221422165</v>
      </c>
      <c r="AI60" s="958">
        <f t="shared" ref="AI60" si="432">AI45-AI58</f>
        <v>1137975.0218991102</v>
      </c>
      <c r="AK60" s="958">
        <f t="shared" ref="AK60" si="433">AK45-AK58</f>
        <v>1200315.3256594508</v>
      </c>
      <c r="AM60" s="958">
        <f t="shared" ref="AM60" si="434">AM45-AM58</f>
        <v>1263367.5611139254</v>
      </c>
      <c r="AO60" s="958">
        <f t="shared" ref="AO60" si="435">AO45-AO58</f>
        <v>1327119.8898230239</v>
      </c>
      <c r="AQ60" s="958">
        <f t="shared" ref="AQ60" si="436">AQ45-AQ58</f>
        <v>1391559.1405241555</v>
      </c>
      <c r="AS60" s="958">
        <f t="shared" ref="AS60" si="437">AS45-AS58</f>
        <v>1456670.739546017</v>
      </c>
      <c r="AU60" s="958">
        <f t="shared" ref="AU60" si="438">AU45-AU58</f>
        <v>1522438.638215051</v>
      </c>
      <c r="AW60" s="958">
        <f t="shared" ref="AW60" si="439">AW45-AW58</f>
        <v>1588845.237134431</v>
      </c>
      <c r="AY60" s="958">
        <f t="shared" ref="AY60" si="440">AY45-AY58</f>
        <v>1655871.307211488</v>
      </c>
      <c r="BA60" s="958">
        <f t="shared" ref="BA60" si="441">BA45-BA58</f>
        <v>1723495.9073047743</v>
      </c>
      <c r="BC60" s="958">
        <f t="shared" ref="BC60" si="442">BC45-BC58</f>
        <v>1791696.2983570888</v>
      </c>
      <c r="BE60" s="958">
        <f t="shared" ref="BE60:BG60" si="443">BE45-BE58</f>
        <v>1860447.8538757148</v>
      </c>
      <c r="BG60" s="958">
        <f t="shared" si="443"/>
        <v>1929723.9666158722</v>
      </c>
      <c r="BI60" s="958">
        <f t="shared" ref="BI60" si="444">BI45-BI58</f>
        <v>1999495.9513179546</v>
      </c>
      <c r="BK60" s="958">
        <f t="shared" ref="BK60" si="445">BK45-BK58</f>
        <v>2069732.9433434883</v>
      </c>
    </row>
    <row r="61" spans="1:63"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c r="AI61" s="956"/>
      <c r="AJ61" s="956"/>
      <c r="AK61" s="956"/>
      <c r="AL61" s="956"/>
      <c r="AM61" s="956"/>
      <c r="AN61" s="956"/>
      <c r="AO61" s="956"/>
      <c r="AP61" s="956"/>
      <c r="AQ61" s="956"/>
      <c r="AR61" s="956"/>
      <c r="AS61" s="956"/>
      <c r="AT61" s="956"/>
      <c r="AU61" s="956"/>
      <c r="AV61" s="956"/>
      <c r="AW61" s="956"/>
      <c r="AX61" s="956"/>
      <c r="AY61" s="956"/>
      <c r="AZ61" s="956"/>
      <c r="BA61" s="956"/>
      <c r="BB61" s="956"/>
      <c r="BC61" s="956"/>
      <c r="BD61" s="956"/>
      <c r="BE61" s="956"/>
      <c r="BF61" s="956"/>
      <c r="BG61" s="956"/>
      <c r="BH61" s="956"/>
      <c r="BI61" s="956"/>
      <c r="BJ61" s="956"/>
      <c r="BK61" s="956"/>
    </row>
    <row r="62" spans="1:63" s="958" customFormat="1">
      <c r="A62" s="958" t="s">
        <v>856</v>
      </c>
      <c r="C62" s="955">
        <v>0.75</v>
      </c>
      <c r="E62" s="960">
        <f>E60*$C$62</f>
        <v>230984.46673054132</v>
      </c>
      <c r="G62" s="958">
        <f>MIN(G60*$C$62,'Sources and Uses Budget'!$I$99-SUM('15 Year Pro Forma'!$E$62:F$62))</f>
        <v>269545.66423054109</v>
      </c>
      <c r="I62" s="958">
        <f>MIN(I60*$C$62,'Sources and Uses Budget'!$I$99-SUM('15 Year Pro Forma'!$E$62:H$62))</f>
        <v>308693.67343054118</v>
      </c>
      <c r="K62" s="958">
        <f>MIN(K60*$C$62,'Sources and Uses Budget'!$I$99-SUM('15 Year Pro Forma'!$E$62:J$62))</f>
        <v>348429.94567222841</v>
      </c>
      <c r="M62" s="958">
        <f>MIN(M60*$C$62,'Sources and Uses Budget'!$I$99-SUM('15 Year Pro Forma'!$E$62:L$62))</f>
        <v>388755.50577411678</v>
      </c>
      <c r="O62" s="958">
        <f>MIN(O60*$C$62,'Sources and Uses Budget'!$I$99-SUM('15 Year Pro Forma'!$E$62:N$62))</f>
        <v>429670.92517284775</v>
      </c>
      <c r="Q62" s="958">
        <f>MIN(Q60*$C$62,'Sources and Uses Budget'!$I$99-SUM('15 Year Pro Forma'!$E$62:P$62))</f>
        <v>471176.29382639407</v>
      </c>
      <c r="S62" s="958">
        <f>MIN(S60*$C$62,'Sources and Uses Budget'!$I$99-SUM('15 Year Pro Forma'!$E$62:R$62))</f>
        <v>513271.19082839065</v>
      </c>
      <c r="U62" s="958">
        <f>MIN(U60*$C$62,'Sources and Uses Budget'!$I$99-SUM('15 Year Pro Forma'!$E$62:T$62))</f>
        <v>555954.65368085692</v>
      </c>
      <c r="W62" s="958">
        <f>MIN(W60*$C$62,'Sources and Uses Budget'!$I$99-SUM('15 Year Pro Forma'!$E$62:V$62))</f>
        <v>375204.68065354181</v>
      </c>
      <c r="Y62" s="958">
        <f>MIN(Y60*$C$62,'Sources and Uses Budget'!$I$99-SUM('15 Year Pro Forma'!$E$62:X$62))</f>
        <v>0</v>
      </c>
      <c r="AA62" s="958">
        <f>MIN(AA60*$C$62,'Sources and Uses Budget'!$I$99-SUM('15 Year Pro Forma'!$E$62:Z$62))</f>
        <v>0</v>
      </c>
      <c r="AC62" s="958">
        <f>MIN(AC60*$C$62,'Sources and Uses Budget'!$I$99-SUM('15 Year Pro Forma'!$E$62:AB$62))</f>
        <v>0</v>
      </c>
      <c r="AE62" s="958">
        <f>MIN(AE60*$C$62,'Sources and Uses Budget'!$I$99-SUM('15 Year Pro Forma'!$E$62:AD$62))</f>
        <v>0</v>
      </c>
      <c r="AG62" s="958">
        <f>MIN(AG60*$C$62,'Sources and Uses Budget'!$I$99-SUM('15 Year Pro Forma'!$E$62:AF$62))</f>
        <v>0</v>
      </c>
      <c r="AI62" s="958">
        <f>MIN(AI60*$C$62,'Sources and Uses Budget'!$I$99-SUM('15 Year Pro Forma'!$E$62:AH$62))</f>
        <v>0</v>
      </c>
      <c r="AK62" s="958">
        <f>MIN(AK60*$C$62,'Sources and Uses Budget'!$I$99-SUM('15 Year Pro Forma'!$E$62:AJ$62))</f>
        <v>0</v>
      </c>
      <c r="AM62" s="958">
        <f>MIN(AM60*$C$62,'Sources and Uses Budget'!$I$99-SUM('15 Year Pro Forma'!$E$62:AL$62))</f>
        <v>0</v>
      </c>
      <c r="AO62" s="958">
        <f>MIN(AO60*$C$62,'Sources and Uses Budget'!$I$99-SUM('15 Year Pro Forma'!$E$62:AN$62))</f>
        <v>0</v>
      </c>
      <c r="AQ62" s="958">
        <f>MIN(AQ60*$C$62,'Sources and Uses Budget'!$I$99-SUM('15 Year Pro Forma'!$E$62:AP$62))</f>
        <v>0</v>
      </c>
      <c r="AS62" s="958">
        <f>MIN(AS60*$C$62,'Sources and Uses Budget'!$I$99-SUM('15 Year Pro Forma'!$E$62:AR$62))</f>
        <v>0</v>
      </c>
      <c r="AU62" s="958">
        <f>MIN(AU60*$C$62,'Sources and Uses Budget'!$I$99-SUM('15 Year Pro Forma'!$E$62:AT$62))</f>
        <v>0</v>
      </c>
      <c r="AW62" s="958">
        <f>MIN(AW60*$C$62,'Sources and Uses Budget'!$I$99-SUM('15 Year Pro Forma'!$E$62:AV$62))</f>
        <v>0</v>
      </c>
      <c r="AY62" s="958">
        <f>MIN(AY60*$C$62,'Sources and Uses Budget'!$I$99-SUM('15 Year Pro Forma'!$E$62:AX$62))</f>
        <v>0</v>
      </c>
      <c r="BA62" s="958">
        <f>MIN(BA60*$C$62,'Sources and Uses Budget'!$I$99-SUM('15 Year Pro Forma'!$E$62:AZ$62))</f>
        <v>0</v>
      </c>
      <c r="BC62" s="958">
        <f>MIN(BC60*$C$62,'Sources and Uses Budget'!$I$99-SUM('15 Year Pro Forma'!$E$62:BB$62))</f>
        <v>0</v>
      </c>
      <c r="BE62" s="958">
        <f>MIN(BE60*$C$62,'Sources and Uses Budget'!$I$99-SUM('15 Year Pro Forma'!$E$62:BD$62))</f>
        <v>0</v>
      </c>
      <c r="BG62" s="958">
        <f>MIN(BG60*$C$62,'Sources and Uses Budget'!$I$99-SUM('15 Year Pro Forma'!$E$62:BF$62))</f>
        <v>0</v>
      </c>
      <c r="BI62" s="958">
        <f>MIN(BI60*$C$62,'Sources and Uses Budget'!$I$99-SUM('15 Year Pro Forma'!$E$62:BH$62))</f>
        <v>0</v>
      </c>
      <c r="BK62" s="958">
        <f>MIN(BK60*$C$62,'Sources and Uses Budget'!$I$99-SUM('15 Year Pro Forma'!$E$62:BJ$62))</f>
        <v>0</v>
      </c>
    </row>
    <row r="63" spans="1:63" s="958" customFormat="1">
      <c r="A63" s="2693" t="s">
        <v>2747</v>
      </c>
      <c r="B63" s="2693"/>
      <c r="C63" s="2693"/>
    </row>
    <row r="64" spans="1:63"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c r="AL64" s="956"/>
      <c r="AM64" s="956"/>
      <c r="AN64" s="956"/>
      <c r="AO64" s="956"/>
      <c r="AP64" s="956"/>
      <c r="AQ64" s="956"/>
      <c r="AR64" s="956"/>
      <c r="AS64" s="956"/>
      <c r="AT64" s="956"/>
      <c r="AU64" s="956"/>
      <c r="AV64" s="956"/>
      <c r="AW64" s="956"/>
      <c r="AX64" s="956"/>
      <c r="AY64" s="956"/>
      <c r="AZ64" s="956"/>
      <c r="BA64" s="956"/>
      <c r="BB64" s="956"/>
      <c r="BC64" s="956"/>
      <c r="BD64" s="956"/>
      <c r="BE64" s="956"/>
      <c r="BF64" s="956"/>
      <c r="BG64" s="956"/>
      <c r="BH64" s="956"/>
      <c r="BI64" s="956"/>
      <c r="BJ64" s="956"/>
      <c r="BK64" s="956"/>
    </row>
    <row r="65" spans="1:63" s="3" customFormat="1">
      <c r="A65" s="3" t="s">
        <v>860</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c r="AL65" s="956"/>
      <c r="AM65" s="956"/>
      <c r="AN65" s="956"/>
      <c r="AO65" s="956"/>
      <c r="AP65" s="956"/>
      <c r="AQ65" s="956"/>
      <c r="AR65" s="956"/>
      <c r="AS65" s="956"/>
      <c r="AT65" s="956"/>
      <c r="AU65" s="956"/>
      <c r="AV65" s="956"/>
      <c r="AW65" s="956"/>
      <c r="AX65" s="956"/>
      <c r="AY65" s="956"/>
      <c r="AZ65" s="956"/>
      <c r="BA65" s="956"/>
      <c r="BB65" s="956"/>
      <c r="BC65" s="956"/>
      <c r="BD65" s="956"/>
      <c r="BE65" s="956"/>
      <c r="BF65" s="956"/>
      <c r="BG65" s="956"/>
      <c r="BH65" s="956"/>
      <c r="BI65" s="956"/>
      <c r="BJ65" s="956"/>
      <c r="BK65" s="956"/>
    </row>
    <row r="66" spans="1:63" s="958" customFormat="1">
      <c r="A66" s="960" t="str">
        <f>Application!C637</f>
        <v>CalHFA-MIP</v>
      </c>
      <c r="B66" s="960"/>
      <c r="C66" s="959"/>
      <c r="E66" s="960">
        <f>$E60*$C$65</f>
        <v>76994.822243513772</v>
      </c>
      <c r="G66" s="956">
        <f>MIN(G60-G62,Application!$AO$637-SUM('15 Year Pro Forma'!$E$66:F$66))</f>
        <v>89848.554743513698</v>
      </c>
      <c r="I66" s="956">
        <f>MIN(I60-I62,Application!$AO$637-SUM('15 Year Pro Forma'!$E$66:H$66))</f>
        <v>102897.89114351373</v>
      </c>
      <c r="K66" s="956">
        <f>MIN(K60-K62,Application!$AO$637-SUM('15 Year Pro Forma'!$E$66:J$66))</f>
        <v>116143.31522407616</v>
      </c>
      <c r="M66" s="956">
        <f>MIN(M60-M62,Application!$AO$637-SUM('15 Year Pro Forma'!$E$66:L$66))</f>
        <v>129585.16859137226</v>
      </c>
      <c r="O66" s="956">
        <f>MIN(O60-O62,Application!$AO$637-SUM('15 Year Pro Forma'!$E$66:N$66))</f>
        <v>143223.64172428258</v>
      </c>
      <c r="Q66" s="956">
        <f>MIN(Q60-Q62,Application!$AO$637-SUM('15 Year Pro Forma'!$E$66:P$66))</f>
        <v>157058.76460879802</v>
      </c>
      <c r="S66" s="956">
        <f>MIN(S60-S62,Application!$AO$637-SUM('15 Year Pro Forma'!$E$66:R$66))</f>
        <v>171090.39694279688</v>
      </c>
      <c r="U66" s="956">
        <f>MIN(U60-U62,Application!$AO$637-SUM('15 Year Pro Forma'!$E$66:T$66))</f>
        <v>185318.21789361897</v>
      </c>
      <c r="W66" s="956">
        <f>MIN(W60-W62,Application!$AO$637-SUM('15 Year Pro Forma'!$E$66:V$66))</f>
        <v>251804.1809071654</v>
      </c>
      <c r="Y66" s="956">
        <f>MIN(Y60-Y62,Application!$AO$637-SUM('15 Year Pro Forma'!$E$66:X$66))</f>
        <v>837281.69972258282</v>
      </c>
      <c r="AA66" s="956">
        <f>MIN(AA60-AA62,Application!$AO$637-SUM('15 Year Pro Forma'!$E$66:Z$66))</f>
        <v>895926.90154413227</v>
      </c>
      <c r="AC66" s="956">
        <f>MIN(AC60-AC62,Application!$AO$637-SUM('15 Year Pro Forma'!$E$66:AB$66))</f>
        <v>955325.47401674709</v>
      </c>
      <c r="AE66" s="956">
        <f>MIN(AE60-AE62,Application!$AO$637-SUM('15 Year Pro Forma'!$E$66:AD$66))</f>
        <v>1015471.296478992</v>
      </c>
      <c r="AG66" s="956">
        <f>MIN(AG60-AG62,Application!$AO$637-SUM('15 Year Pro Forma'!$E$66:AF$66))</f>
        <v>872029.67421489488</v>
      </c>
      <c r="AI66" s="956">
        <f>MIN(AI60-AI62,Application!$AO$637-SUM('15 Year Pro Forma'!$E$66:AH$66))</f>
        <v>0</v>
      </c>
      <c r="AK66" s="956">
        <f>MIN(AK60-AK62,Application!$AO$637-SUM('15 Year Pro Forma'!$E$66:AJ$66))</f>
        <v>0</v>
      </c>
      <c r="AM66" s="956">
        <f>MIN(AM60-AM62,Application!$AO$637-SUM('15 Year Pro Forma'!$E$66:AL$66))</f>
        <v>0</v>
      </c>
      <c r="AO66" s="956">
        <f>MIN(AO60-AO62,Application!$AO$637-SUM('15 Year Pro Forma'!$E$66:AN$66))</f>
        <v>0</v>
      </c>
      <c r="AQ66" s="956">
        <f>MIN(AQ60-AQ62,Application!$AO$637-SUM('15 Year Pro Forma'!$E$66:AP$66))</f>
        <v>0</v>
      </c>
      <c r="AS66" s="956">
        <f>MIN(AS60-AS62,Application!$AO$637-SUM('15 Year Pro Forma'!$E$66:AR$66))</f>
        <v>0</v>
      </c>
      <c r="AU66" s="956">
        <f>MIN(AU60-AU62,Application!$AO$637-SUM('15 Year Pro Forma'!$E$66:AT$66))</f>
        <v>0</v>
      </c>
      <c r="AW66" s="956">
        <f>MIN(AW60-AW62,Application!$AO$637-SUM('15 Year Pro Forma'!$E$66:AV$66))</f>
        <v>0</v>
      </c>
      <c r="AY66" s="956">
        <f>MIN(AY60-AY62,Application!$AO$637-SUM('15 Year Pro Forma'!$E$66:AX$66))</f>
        <v>0</v>
      </c>
      <c r="BA66" s="956">
        <f>MIN(BA60-BA62,Application!$AO$637-SUM('15 Year Pro Forma'!$E$66:AZ$66))</f>
        <v>0</v>
      </c>
      <c r="BC66" s="956">
        <f>MIN(BC60-BC62,Application!$AO$637-SUM('15 Year Pro Forma'!$E$66:BB$66))</f>
        <v>0</v>
      </c>
      <c r="BE66" s="956">
        <f>MIN(BE60-BE62,Application!$AO$637-SUM('15 Year Pro Forma'!$E$66:BD$66))</f>
        <v>0</v>
      </c>
      <c r="BG66" s="956">
        <f>MIN(BG60-BG62,Application!$AO$637-SUM('15 Year Pro Forma'!$E$66:BF$66))</f>
        <v>0</v>
      </c>
      <c r="BI66" s="956">
        <f>MIN(BI60-BI62,Application!$AO$637-SUM('15 Year Pro Forma'!$E$66:BH$66))</f>
        <v>0</v>
      </c>
      <c r="BK66" s="956">
        <f>MIN(BK60-BK62,Application!$AO$637-SUM('15 Year Pro Forma'!$E$66:BJ$66))</f>
        <v>0</v>
      </c>
    </row>
    <row r="67" spans="1:63" s="956" customFormat="1">
      <c r="A67" s="961"/>
      <c r="B67" s="961"/>
      <c r="C67" s="966"/>
      <c r="E67" s="960">
        <v>0</v>
      </c>
      <c r="G67" s="956">
        <v>0</v>
      </c>
      <c r="I67" s="956">
        <v>0</v>
      </c>
      <c r="K67" s="956">
        <v>0</v>
      </c>
      <c r="M67" s="956">
        <v>0</v>
      </c>
      <c r="O67" s="956">
        <v>0</v>
      </c>
      <c r="Q67" s="956">
        <v>0</v>
      </c>
      <c r="S67" s="956">
        <v>0</v>
      </c>
      <c r="U67" s="956">
        <v>0</v>
      </c>
      <c r="W67" s="956">
        <v>0</v>
      </c>
      <c r="Y67" s="956">
        <v>0</v>
      </c>
      <c r="AA67" s="956">
        <v>0</v>
      </c>
      <c r="AC67" s="956">
        <v>0</v>
      </c>
      <c r="AE67" s="956">
        <v>0</v>
      </c>
      <c r="AG67" s="956">
        <v>0</v>
      </c>
      <c r="AI67" s="956">
        <v>0</v>
      </c>
      <c r="AK67" s="956">
        <v>0</v>
      </c>
      <c r="AM67" s="956">
        <v>0</v>
      </c>
      <c r="AO67" s="956">
        <v>0</v>
      </c>
      <c r="AQ67" s="956">
        <v>0</v>
      </c>
      <c r="AS67" s="956">
        <v>0</v>
      </c>
      <c r="AU67" s="956">
        <v>0</v>
      </c>
      <c r="AW67" s="956">
        <v>0</v>
      </c>
      <c r="AY67" s="956">
        <v>0</v>
      </c>
      <c r="BA67" s="956">
        <v>0</v>
      </c>
      <c r="BC67" s="956">
        <v>0</v>
      </c>
      <c r="BE67" s="956">
        <v>0</v>
      </c>
      <c r="BG67" s="956">
        <v>0</v>
      </c>
      <c r="BI67" s="956">
        <v>0</v>
      </c>
      <c r="BK67" s="956">
        <v>0</v>
      </c>
    </row>
    <row r="68" spans="1:63" s="956" customFormat="1">
      <c r="A68" s="961"/>
      <c r="B68" s="961"/>
      <c r="C68" s="966"/>
      <c r="E68" s="961"/>
      <c r="G68" s="956">
        <f t="shared" ref="G68:AE69" si="446">E68*$C$66</f>
        <v>0</v>
      </c>
      <c r="I68" s="956">
        <f t="shared" si="446"/>
        <v>0</v>
      </c>
      <c r="K68" s="956">
        <f t="shared" si="446"/>
        <v>0</v>
      </c>
      <c r="M68" s="956">
        <f t="shared" si="446"/>
        <v>0</v>
      </c>
      <c r="O68" s="956">
        <f t="shared" si="446"/>
        <v>0</v>
      </c>
      <c r="Q68" s="956">
        <f t="shared" si="446"/>
        <v>0</v>
      </c>
      <c r="S68" s="956">
        <f t="shared" si="446"/>
        <v>0</v>
      </c>
      <c r="U68" s="956">
        <f t="shared" si="446"/>
        <v>0</v>
      </c>
      <c r="W68" s="956">
        <f t="shared" si="446"/>
        <v>0</v>
      </c>
      <c r="Y68" s="956">
        <f t="shared" si="446"/>
        <v>0</v>
      </c>
      <c r="AA68" s="956">
        <f t="shared" si="446"/>
        <v>0</v>
      </c>
      <c r="AC68" s="956">
        <f t="shared" si="446"/>
        <v>0</v>
      </c>
      <c r="AE68" s="956">
        <f t="shared" si="446"/>
        <v>0</v>
      </c>
      <c r="AG68" s="956">
        <f>AE68*$C$66</f>
        <v>0</v>
      </c>
      <c r="AI68" s="956">
        <f t="shared" ref="AI68:AI69" si="447">AG68*$C$66</f>
        <v>0</v>
      </c>
      <c r="AK68" s="956">
        <f t="shared" ref="AK68:AK69" si="448">AI68*$C$66</f>
        <v>0</v>
      </c>
      <c r="AM68" s="956">
        <f t="shared" ref="AM68:AM69" si="449">AK68*$C$66</f>
        <v>0</v>
      </c>
      <c r="AO68" s="956">
        <f t="shared" ref="AO68:AO69" si="450">AM68*$C$66</f>
        <v>0</v>
      </c>
      <c r="AQ68" s="956">
        <f t="shared" ref="AQ68:AQ69" si="451">AO68*$C$66</f>
        <v>0</v>
      </c>
      <c r="AS68" s="956">
        <f t="shared" ref="AS68:AS69" si="452">AQ68*$C$66</f>
        <v>0</v>
      </c>
      <c r="AU68" s="956">
        <f t="shared" ref="AU68:AU69" si="453">AS68*$C$66</f>
        <v>0</v>
      </c>
      <c r="AW68" s="956">
        <f t="shared" ref="AW68:AW69" si="454">AU68*$C$66</f>
        <v>0</v>
      </c>
      <c r="AY68" s="956">
        <f t="shared" ref="AY68:AY69" si="455">AW68*$C$66</f>
        <v>0</v>
      </c>
      <c r="BA68" s="956">
        <f t="shared" ref="BA68:BA69" si="456">AY68*$C$66</f>
        <v>0</v>
      </c>
      <c r="BC68" s="956">
        <f t="shared" ref="BC68:BC69" si="457">BA68*$C$66</f>
        <v>0</v>
      </c>
      <c r="BE68" s="956">
        <f t="shared" ref="BE68:BE69" si="458">BC68*$C$66</f>
        <v>0</v>
      </c>
      <c r="BG68" s="956">
        <f t="shared" ref="BG68:BG69" si="459">BE68*$C$66</f>
        <v>0</v>
      </c>
      <c r="BI68" s="956">
        <f t="shared" ref="BI68:BI69" si="460">BG68*$C$66</f>
        <v>0</v>
      </c>
      <c r="BK68" s="956">
        <f t="shared" ref="BK68:BK69" si="461">BI68*$C$66</f>
        <v>0</v>
      </c>
    </row>
    <row r="69" spans="1:63" s="956" customFormat="1">
      <c r="A69" s="961"/>
      <c r="B69" s="961"/>
      <c r="C69" s="966"/>
      <c r="E69" s="963"/>
      <c r="G69" s="964">
        <f t="shared" si="446"/>
        <v>0</v>
      </c>
      <c r="I69" s="964">
        <f t="shared" si="446"/>
        <v>0</v>
      </c>
      <c r="K69" s="964">
        <f t="shared" si="446"/>
        <v>0</v>
      </c>
      <c r="M69" s="964">
        <f t="shared" si="446"/>
        <v>0</v>
      </c>
      <c r="O69" s="964">
        <f t="shared" si="446"/>
        <v>0</v>
      </c>
      <c r="Q69" s="964">
        <f t="shared" si="446"/>
        <v>0</v>
      </c>
      <c r="S69" s="964">
        <f t="shared" si="446"/>
        <v>0</v>
      </c>
      <c r="U69" s="964">
        <f t="shared" si="446"/>
        <v>0</v>
      </c>
      <c r="W69" s="964">
        <f t="shared" si="446"/>
        <v>0</v>
      </c>
      <c r="Y69" s="964">
        <f t="shared" si="446"/>
        <v>0</v>
      </c>
      <c r="AA69" s="964">
        <f t="shared" si="446"/>
        <v>0</v>
      </c>
      <c r="AC69" s="964">
        <f t="shared" si="446"/>
        <v>0</v>
      </c>
      <c r="AE69" s="964">
        <f t="shared" si="446"/>
        <v>0</v>
      </c>
      <c r="AG69" s="964">
        <f>AE69*$C$66</f>
        <v>0</v>
      </c>
      <c r="AI69" s="964">
        <f t="shared" si="447"/>
        <v>0</v>
      </c>
      <c r="AK69" s="964">
        <f t="shared" si="448"/>
        <v>0</v>
      </c>
      <c r="AM69" s="964">
        <f t="shared" si="449"/>
        <v>0</v>
      </c>
      <c r="AO69" s="964">
        <f t="shared" si="450"/>
        <v>0</v>
      </c>
      <c r="AQ69" s="964">
        <f t="shared" si="451"/>
        <v>0</v>
      </c>
      <c r="AS69" s="964">
        <f t="shared" si="452"/>
        <v>0</v>
      </c>
      <c r="AU69" s="964">
        <f t="shared" si="453"/>
        <v>0</v>
      </c>
      <c r="AW69" s="964">
        <f t="shared" si="454"/>
        <v>0</v>
      </c>
      <c r="AY69" s="964">
        <f t="shared" si="455"/>
        <v>0</v>
      </c>
      <c r="BA69" s="964">
        <f t="shared" si="456"/>
        <v>0</v>
      </c>
      <c r="BC69" s="964">
        <f t="shared" si="457"/>
        <v>0</v>
      </c>
      <c r="BE69" s="964">
        <f t="shared" si="458"/>
        <v>0</v>
      </c>
      <c r="BG69" s="964">
        <f t="shared" si="459"/>
        <v>0</v>
      </c>
      <c r="BI69" s="964">
        <f t="shared" si="460"/>
        <v>0</v>
      </c>
      <c r="BK69" s="964">
        <f t="shared" si="461"/>
        <v>0</v>
      </c>
    </row>
    <row r="70" spans="1:63" s="956" customFormat="1">
      <c r="A70" s="958" t="s">
        <v>852</v>
      </c>
      <c r="C70" s="966"/>
      <c r="E70" s="956">
        <f>SUM(E66:E69)</f>
        <v>76994.822243513772</v>
      </c>
      <c r="G70" s="956">
        <f>SUM(G66:G69)</f>
        <v>89848.554743513698</v>
      </c>
      <c r="I70" s="956">
        <f>SUM(I66:I69)</f>
        <v>102897.89114351373</v>
      </c>
      <c r="K70" s="956">
        <f>SUM(K66:K69)</f>
        <v>116143.31522407616</v>
      </c>
      <c r="M70" s="956">
        <f>SUM(M66:M69)</f>
        <v>129585.16859137226</v>
      </c>
      <c r="O70" s="956">
        <f>SUM(O66:O69)</f>
        <v>143223.64172428258</v>
      </c>
      <c r="Q70" s="956">
        <f>SUM(Q66:Q69)</f>
        <v>157058.76460879802</v>
      </c>
      <c r="S70" s="956">
        <f>SUM(S66:S69)</f>
        <v>171090.39694279688</v>
      </c>
      <c r="U70" s="956">
        <f>SUM(U66:U69)</f>
        <v>185318.21789361897</v>
      </c>
      <c r="W70" s="956">
        <f>SUM(W66:W69)</f>
        <v>251804.1809071654</v>
      </c>
      <c r="Y70" s="956">
        <f>SUM(Y66:Y69)</f>
        <v>837281.69972258282</v>
      </c>
      <c r="AA70" s="956">
        <f>SUM(AA66:AA69)</f>
        <v>895926.90154413227</v>
      </c>
      <c r="AC70" s="956">
        <f>SUM(AC66:AC69)</f>
        <v>955325.47401674709</v>
      </c>
      <c r="AE70" s="956">
        <f>SUM(AE66:AE69)</f>
        <v>1015471.296478992</v>
      </c>
      <c r="AG70" s="956">
        <f>SUM(AG66:AG69)</f>
        <v>872029.67421489488</v>
      </c>
      <c r="AI70" s="956">
        <f t="shared" ref="AI70" si="462">SUM(AI66:AI69)</f>
        <v>0</v>
      </c>
      <c r="AK70" s="956">
        <f t="shared" ref="AK70" si="463">SUM(AK66:AK69)</f>
        <v>0</v>
      </c>
      <c r="AM70" s="956">
        <f t="shared" ref="AM70" si="464">SUM(AM66:AM69)</f>
        <v>0</v>
      </c>
      <c r="AO70" s="956">
        <f t="shared" ref="AO70" si="465">SUM(AO66:AO69)</f>
        <v>0</v>
      </c>
      <c r="AQ70" s="956">
        <f t="shared" ref="AQ70" si="466">SUM(AQ66:AQ69)</f>
        <v>0</v>
      </c>
      <c r="AS70" s="956">
        <f t="shared" ref="AS70" si="467">SUM(AS66:AS69)</f>
        <v>0</v>
      </c>
      <c r="AU70" s="956">
        <f t="shared" ref="AU70" si="468">SUM(AU66:AU69)</f>
        <v>0</v>
      </c>
      <c r="AW70" s="956">
        <f t="shared" ref="AW70" si="469">SUM(AW66:AW69)</f>
        <v>0</v>
      </c>
      <c r="AY70" s="956">
        <f t="shared" ref="AY70" si="470">SUM(AY66:AY69)</f>
        <v>0</v>
      </c>
      <c r="BA70" s="956">
        <f t="shared" ref="BA70" si="471">SUM(BA66:BA69)</f>
        <v>0</v>
      </c>
      <c r="BC70" s="956">
        <f t="shared" ref="BC70" si="472">SUM(BC66:BC69)</f>
        <v>0</v>
      </c>
      <c r="BE70" s="956">
        <f t="shared" ref="BE70" si="473">SUM(BE66:BE69)</f>
        <v>0</v>
      </c>
      <c r="BG70" s="956">
        <f t="shared" ref="BG70" si="474">SUM(BG66:BG69)</f>
        <v>0</v>
      </c>
      <c r="BI70" s="956">
        <f t="shared" ref="BI70" si="475">SUM(BI66:BI69)</f>
        <v>0</v>
      </c>
      <c r="BK70" s="956">
        <f t="shared" ref="BK70" si="476">SUM(BK66:BK69)</f>
        <v>0</v>
      </c>
    </row>
    <row r="71" spans="1:63" s="956" customFormat="1">
      <c r="A71" s="958"/>
      <c r="C71" s="966"/>
    </row>
    <row r="72" spans="1:63" s="956" customFormat="1">
      <c r="A72" s="958" t="s">
        <v>1711</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204327.54792732163</v>
      </c>
      <c r="AI72" s="958">
        <f t="shared" ref="AI72" si="477">AI60-AI62-AI70</f>
        <v>1137975.0218991102</v>
      </c>
      <c r="AK72" s="958">
        <f t="shared" ref="AK72" si="478">AK60-AK62-AK70</f>
        <v>1200315.3256594508</v>
      </c>
      <c r="AM72" s="958">
        <f t="shared" ref="AM72" si="479">AM60-AM62-AM70</f>
        <v>1263367.5611139254</v>
      </c>
      <c r="AO72" s="958">
        <f t="shared" ref="AO72" si="480">AO60-AO62-AO70</f>
        <v>1327119.8898230239</v>
      </c>
      <c r="AQ72" s="958">
        <f t="shared" ref="AQ72" si="481">AQ60-AQ62-AQ70</f>
        <v>1391559.1405241555</v>
      </c>
      <c r="AS72" s="958">
        <f t="shared" ref="AS72" si="482">AS60-AS62-AS70</f>
        <v>1456670.739546017</v>
      </c>
      <c r="AU72" s="958">
        <f t="shared" ref="AU72" si="483">AU60-AU62-AU70</f>
        <v>1522438.638215051</v>
      </c>
      <c r="AW72" s="958">
        <f t="shared" ref="AW72" si="484">AW60-AW62-AW70</f>
        <v>1588845.237134431</v>
      </c>
      <c r="AY72" s="958">
        <f t="shared" ref="AY72" si="485">AY60-AY62-AY70</f>
        <v>1655871.307211488</v>
      </c>
      <c r="BA72" s="958">
        <f t="shared" ref="BA72" si="486">BA60-BA62-BA70</f>
        <v>1723495.9073047743</v>
      </c>
      <c r="BC72" s="958">
        <f t="shared" ref="BC72" si="487">BC60-BC62-BC70</f>
        <v>1791696.2983570888</v>
      </c>
      <c r="BE72" s="958">
        <f t="shared" ref="BE72:BG72" si="488">BE60-BE62-BE70</f>
        <v>1860447.8538757148</v>
      </c>
      <c r="BG72" s="958">
        <f t="shared" si="488"/>
        <v>1929723.9666158722</v>
      </c>
      <c r="BI72" s="958">
        <f t="shared" ref="BI72" si="489">BI60-BI62-BI70</f>
        <v>1999495.9513179546</v>
      </c>
      <c r="BK72" s="958">
        <f t="shared" ref="BK72" si="490">BK60-BK62-BK70</f>
        <v>2069732.9433434883</v>
      </c>
    </row>
    <row r="73" spans="1:63" s="956" customFormat="1">
      <c r="A73" s="529"/>
      <c r="C73" s="966"/>
    </row>
    <row r="74" spans="1:63" s="217" customFormat="1">
      <c r="A74" s="529"/>
      <c r="C74" s="183"/>
    </row>
    <row r="75" spans="1:63" s="217" customFormat="1">
      <c r="A75" s="956" t="s">
        <v>1710</v>
      </c>
      <c r="C75" s="183"/>
    </row>
    <row r="76" spans="1:63" s="217" customFormat="1">
      <c r="C76" s="183"/>
    </row>
    <row r="77" spans="1:63" s="234" customFormat="1" ht="30" customHeight="1">
      <c r="A77" s="2691" t="s">
        <v>1709</v>
      </c>
      <c r="B77" s="2692"/>
      <c r="C77" s="2692"/>
      <c r="D77" s="2692"/>
      <c r="E77" s="2692"/>
      <c r="F77" s="2692"/>
      <c r="G77" s="2692"/>
      <c r="H77" s="2692"/>
      <c r="I77" s="2692"/>
      <c r="J77" s="2692"/>
      <c r="K77" s="2692"/>
      <c r="L77" s="2692"/>
      <c r="M77" s="2692"/>
      <c r="N77" s="2692"/>
      <c r="O77" s="2692"/>
      <c r="P77" s="2692"/>
      <c r="Q77" s="2692"/>
      <c r="R77" s="2692"/>
      <c r="S77" s="2692"/>
      <c r="T77" s="2692"/>
      <c r="U77" s="2692"/>
      <c r="V77" s="2692"/>
      <c r="W77" s="2692"/>
      <c r="X77" s="2692"/>
      <c r="Y77" s="2692"/>
      <c r="Z77" s="2692"/>
      <c r="AA77" s="2692"/>
      <c r="AB77" s="2692"/>
      <c r="AC77" s="2692"/>
      <c r="AD77" s="2692"/>
      <c r="AE77" s="2692"/>
      <c r="AF77" s="2692"/>
      <c r="AG77" s="269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phoneticPr fontId="29" type="noConversion"/>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4990000</v>
      </c>
      <c r="C5" s="266">
        <f>'Sources and Uses Budget'!$C4</f>
        <v>4990000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4990000</v>
      </c>
      <c r="C9" s="270">
        <f>SUM(C5:C8)</f>
        <v>4990000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4990000</v>
      </c>
      <c r="C13" s="270">
        <f>SUM(C9+C12)</f>
        <v>4990000</v>
      </c>
      <c r="D13" s="270">
        <f t="shared" si="0"/>
        <v>0</v>
      </c>
      <c r="E13" s="268"/>
      <c r="F13" s="267"/>
    </row>
    <row r="14" spans="1:6" s="352" customFormat="1">
      <c r="A14" s="366" t="s">
        <v>901</v>
      </c>
      <c r="B14" s="266">
        <f>'Sources and Uses Budget'!$C13</f>
        <v>20000</v>
      </c>
      <c r="C14" s="266">
        <f>'Sources and Uses Budget'!$C13</f>
        <v>20000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900000</v>
      </c>
      <c r="C30" s="266">
        <f>'Sources and Uses Budget'!$C29</f>
        <v>900000</v>
      </c>
      <c r="D30" s="270">
        <f t="shared" si="0"/>
        <v>0</v>
      </c>
      <c r="E30" s="268"/>
      <c r="F30" s="267"/>
    </row>
    <row r="31" spans="1:6" s="352" customFormat="1">
      <c r="A31" s="145" t="s">
        <v>598</v>
      </c>
      <c r="B31" s="266">
        <f>'Sources and Uses Budget'!$C30</f>
        <v>25060000</v>
      </c>
      <c r="C31" s="266">
        <f>'Sources and Uses Budget'!$C30</f>
        <v>25060000</v>
      </c>
      <c r="D31" s="270">
        <f t="shared" si="0"/>
        <v>0</v>
      </c>
      <c r="E31" s="268"/>
      <c r="F31" s="267"/>
    </row>
    <row r="32" spans="1:6" s="352" customFormat="1">
      <c r="A32" s="145" t="s">
        <v>599</v>
      </c>
      <c r="B32" s="266">
        <f>'Sources and Uses Budget'!$C31</f>
        <v>826000</v>
      </c>
      <c r="C32" s="266">
        <f>'Sources and Uses Budget'!$C31</f>
        <v>826000</v>
      </c>
      <c r="D32" s="270">
        <f t="shared" si="0"/>
        <v>0</v>
      </c>
      <c r="E32" s="268"/>
      <c r="F32" s="267"/>
    </row>
    <row r="33" spans="1:6" s="352" customFormat="1">
      <c r="A33" s="145" t="s">
        <v>137</v>
      </c>
      <c r="B33" s="266">
        <f>'Sources and Uses Budget'!$C32</f>
        <v>537720</v>
      </c>
      <c r="C33" s="266">
        <f>'Sources and Uses Budget'!$C32</f>
        <v>537720</v>
      </c>
      <c r="D33" s="270">
        <f t="shared" si="0"/>
        <v>0</v>
      </c>
      <c r="E33" s="268"/>
      <c r="F33" s="267"/>
    </row>
    <row r="34" spans="1:6" s="352" customFormat="1">
      <c r="A34" s="145" t="s">
        <v>138</v>
      </c>
      <c r="B34" s="266">
        <f>'Sources and Uses Budget'!$C33</f>
        <v>962280</v>
      </c>
      <c r="C34" s="266">
        <f>'Sources and Uses Budget'!$C33</f>
        <v>962280</v>
      </c>
      <c r="D34" s="270">
        <f t="shared" si="0"/>
        <v>0</v>
      </c>
      <c r="E34" s="268"/>
      <c r="F34" s="267"/>
    </row>
    <row r="35" spans="1:6" s="352" customFormat="1">
      <c r="A35" s="145" t="s">
        <v>139</v>
      </c>
      <c r="B35" s="266" t="e">
        <f>'Sources and Uses Budget'!#REF!</f>
        <v>#REF!</v>
      </c>
      <c r="C35" s="266" t="e">
        <f>'Sources and Uses Budget'!#REF!</f>
        <v>#REF!</v>
      </c>
      <c r="D35" s="270" t="e">
        <f t="shared" si="0"/>
        <v>#REF!</v>
      </c>
      <c r="E35" s="268"/>
      <c r="F35" s="267"/>
    </row>
    <row r="36" spans="1:6" s="352" customFormat="1">
      <c r="A36" s="145" t="s">
        <v>140</v>
      </c>
      <c r="B36" s="266">
        <f>'Sources and Uses Budget'!$C35</f>
        <v>627707</v>
      </c>
      <c r="C36" s="266">
        <f>'Sources and Uses Budget'!$C35</f>
        <v>627707</v>
      </c>
      <c r="D36" s="270">
        <f t="shared" si="0"/>
        <v>0</v>
      </c>
      <c r="E36" s="268"/>
      <c r="F36" s="267"/>
    </row>
    <row r="37" spans="1:6" s="352" customFormat="1">
      <c r="A37" s="283" t="s">
        <v>1628</v>
      </c>
      <c r="B37" s="266">
        <f>'Sources and Uses Budget'!$C36</f>
        <v>400000</v>
      </c>
      <c r="C37" s="266">
        <f>'Sources and Uses Budget'!$C36</f>
        <v>400000</v>
      </c>
      <c r="D37" s="270"/>
      <c r="E37" s="268"/>
      <c r="F37" s="267"/>
    </row>
    <row r="38" spans="1:6" s="352" customFormat="1">
      <c r="A38" s="155" t="str">
        <f>'Sources and Uses Budget'!A37</f>
        <v>Parking</v>
      </c>
      <c r="B38" s="266">
        <f>'Sources and Uses Budget'!$C37</f>
        <v>100000</v>
      </c>
      <c r="C38" s="266">
        <f>'Sources and Uses Budget'!$C37</f>
        <v>100000</v>
      </c>
      <c r="D38" s="270">
        <f t="shared" si="0"/>
        <v>0</v>
      </c>
      <c r="E38" s="268"/>
      <c r="F38" s="267"/>
    </row>
    <row r="39" spans="1:6" s="352" customFormat="1">
      <c r="A39" s="271" t="s">
        <v>143</v>
      </c>
      <c r="B39" s="270" t="e">
        <f>SUM(B30:B38)</f>
        <v>#REF!</v>
      </c>
      <c r="C39" s="270" t="e">
        <f>SUM(C30:C38)</f>
        <v>#REF!</v>
      </c>
      <c r="D39" s="270" t="e">
        <f t="shared" si="0"/>
        <v>#REF!</v>
      </c>
      <c r="E39" s="268"/>
      <c r="F39" s="267"/>
    </row>
    <row r="40" spans="1:6" s="352" customFormat="1">
      <c r="A40" s="264" t="s">
        <v>144</v>
      </c>
      <c r="B40" s="264"/>
      <c r="C40" s="264"/>
      <c r="D40" s="264"/>
      <c r="E40" s="282"/>
      <c r="F40" s="264"/>
    </row>
    <row r="41" spans="1:6" s="352" customFormat="1">
      <c r="A41" s="269" t="s">
        <v>145</v>
      </c>
      <c r="B41" s="266">
        <f>'Sources and Uses Budget'!$C40</f>
        <v>650000</v>
      </c>
      <c r="C41" s="266">
        <f>'Sources and Uses Budget'!$C40</f>
        <v>650000</v>
      </c>
      <c r="D41" s="270">
        <f t="shared" si="0"/>
        <v>0</v>
      </c>
      <c r="E41" s="268"/>
      <c r="F41" s="267"/>
    </row>
    <row r="42" spans="1:6" s="352" customFormat="1">
      <c r="A42" s="269" t="s">
        <v>146</v>
      </c>
      <c r="B42" s="266">
        <f>'Sources and Uses Budget'!$C41</f>
        <v>100000</v>
      </c>
      <c r="C42" s="266">
        <f>'Sources and Uses Budget'!$C41</f>
        <v>100000</v>
      </c>
      <c r="D42" s="270">
        <f t="shared" si="0"/>
        <v>0</v>
      </c>
      <c r="E42" s="268"/>
      <c r="F42" s="267"/>
    </row>
    <row r="43" spans="1:6" s="352" customFormat="1">
      <c r="A43" s="271" t="s">
        <v>147</v>
      </c>
      <c r="B43" s="270">
        <f>SUM(B41:B42)</f>
        <v>750000</v>
      </c>
      <c r="C43" s="270">
        <f>SUM(C41:C42)</f>
        <v>750000</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5201044</v>
      </c>
      <c r="C46" s="266">
        <f>'Sources and Uses Budget'!$C45</f>
        <v>5201044</v>
      </c>
      <c r="D46" s="270">
        <f t="shared" si="0"/>
        <v>0</v>
      </c>
      <c r="E46" s="268"/>
      <c r="F46" s="267"/>
    </row>
    <row r="47" spans="1:6" s="352" customFormat="1">
      <c r="A47" s="145" t="s">
        <v>151</v>
      </c>
      <c r="B47" s="266">
        <f>'Sources and Uses Budget'!$C46</f>
        <v>477453</v>
      </c>
      <c r="C47" s="266">
        <f>'Sources and Uses Budget'!$C46</f>
        <v>477453</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460746</v>
      </c>
      <c r="C49" s="266">
        <f>'Sources and Uses Budget'!$C48</f>
        <v>460746</v>
      </c>
      <c r="D49" s="270">
        <f t="shared" si="0"/>
        <v>0</v>
      </c>
      <c r="E49" s="268"/>
      <c r="F49" s="267"/>
    </row>
    <row r="50" spans="1:6" s="352" customFormat="1">
      <c r="A50" s="145" t="s">
        <v>57</v>
      </c>
      <c r="B50" s="266">
        <f>'Sources and Uses Budget'!$C49</f>
        <v>932993</v>
      </c>
      <c r="C50" s="266">
        <f>'Sources and Uses Budget'!$C49</f>
        <v>932993</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7122236</v>
      </c>
      <c r="C55" s="273">
        <f>SUM(C46:C54)</f>
        <v>7122236</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626020</v>
      </c>
      <c r="C57" s="266">
        <f>'Sources and Uses Budget'!$C56</f>
        <v>626020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636020</v>
      </c>
      <c r="C63" s="270">
        <f>SUM(C57:C62)</f>
        <v>636020</v>
      </c>
      <c r="D63" s="270">
        <f t="shared" si="0"/>
        <v>0</v>
      </c>
      <c r="E63" s="268"/>
      <c r="F63" s="267"/>
    </row>
    <row r="64" spans="1:6" s="352" customFormat="1">
      <c r="A64" s="274" t="s">
        <v>302</v>
      </c>
      <c r="B64" s="270" t="e">
        <f>SUM(B9+B12+B14+B15+B17+B26+B28+B39+B43+B44+B55+B63)</f>
        <v>#REF!</v>
      </c>
      <c r="C64" s="270" t="e">
        <f>SUM(C9+C12+C14+C15+C17+C26+C28+C39+C43+C44+C55+C63)</f>
        <v>#REF!</v>
      </c>
      <c r="D64" s="270" t="e">
        <f t="shared" si="0"/>
        <v>#REF!</v>
      </c>
      <c r="E64" s="268"/>
      <c r="F64" s="267"/>
    </row>
    <row r="65" spans="1:6" s="352" customFormat="1" ht="24">
      <c r="A65" s="141" t="s">
        <v>1632</v>
      </c>
      <c r="B65" s="264"/>
      <c r="C65" s="264"/>
      <c r="D65" s="264"/>
      <c r="E65" s="282"/>
      <c r="F65" s="264"/>
    </row>
    <row r="66" spans="1:6" s="352" customFormat="1">
      <c r="A66" s="145" t="s">
        <v>171</v>
      </c>
      <c r="B66" s="266">
        <f>'Sources and Uses Budget'!$C65</f>
        <v>305000</v>
      </c>
      <c r="C66" s="266">
        <f>'Sources and Uses Budget'!$C65</f>
        <v>305000</v>
      </c>
      <c r="D66" s="270">
        <f t="shared" si="0"/>
        <v>0</v>
      </c>
      <c r="E66" s="268"/>
      <c r="F66" s="267"/>
    </row>
    <row r="67" spans="1:6" s="352" customFormat="1" ht="24">
      <c r="A67" s="283" t="s">
        <v>1629</v>
      </c>
      <c r="B67" s="266">
        <f>'Sources and Uses Budget'!$C66</f>
        <v>650000</v>
      </c>
      <c r="C67" s="266">
        <f>'Sources and Uses Budget'!$C66</f>
        <v>650000</v>
      </c>
      <c r="D67" s="270"/>
      <c r="E67" s="268"/>
      <c r="F67" s="267"/>
    </row>
    <row r="68" spans="1:6" s="352" customFormat="1" ht="24">
      <c r="A68" s="283" t="s">
        <v>1630</v>
      </c>
      <c r="B68" s="266">
        <f>'Sources and Uses Budget'!$C67</f>
        <v>0</v>
      </c>
      <c r="C68" s="266">
        <f>'Sources and Uses Budget'!$C67</f>
        <v>0</v>
      </c>
      <c r="D68" s="270"/>
      <c r="E68" s="268"/>
      <c r="F68" s="267"/>
    </row>
    <row r="69" spans="1:6" s="352" customFormat="1">
      <c r="A69" s="283" t="s">
        <v>1636</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1633</v>
      </c>
      <c r="B71" s="270">
        <f>SUM(B66:B70)</f>
        <v>955000</v>
      </c>
      <c r="C71" s="270">
        <f>SUM(C66:C70)</f>
        <v>955000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250478</v>
      </c>
      <c r="C74" s="266">
        <f>'Sources and Uses Budget'!$C73</f>
        <v>250478</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1261450</v>
      </c>
      <c r="C76" s="266">
        <f>'Sources and Uses Budget'!$C75</f>
        <v>1261450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1511928</v>
      </c>
      <c r="C78" s="270">
        <f>SUM(C73:C77)</f>
        <v>1511928</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2688600</v>
      </c>
      <c r="C80" s="266">
        <f>'Sources and Uses Budget'!$C79</f>
        <v>2688600</v>
      </c>
      <c r="D80" s="270">
        <f t="shared" si="1"/>
        <v>0</v>
      </c>
      <c r="E80" s="268"/>
      <c r="F80" s="267"/>
    </row>
    <row r="81" spans="1:6" s="352" customFormat="1">
      <c r="A81" s="510" t="s">
        <v>58</v>
      </c>
      <c r="B81" s="266">
        <f>'Sources and Uses Budget'!$C80</f>
        <v>1440897</v>
      </c>
      <c r="C81" s="266">
        <f>'Sources and Uses Budget'!$C80</f>
        <v>1440897</v>
      </c>
      <c r="D81" s="270">
        <f>C81-B81</f>
        <v>0</v>
      </c>
      <c r="E81" s="268"/>
      <c r="F81" s="267"/>
    </row>
    <row r="82" spans="1:6" s="352" customFormat="1">
      <c r="A82" s="271" t="s">
        <v>1208</v>
      </c>
      <c r="B82" s="270">
        <f>SUM(B80:B81)</f>
        <v>4129497</v>
      </c>
      <c r="C82" s="270">
        <f>SUM(C80:C81)</f>
        <v>4129497</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255109</v>
      </c>
      <c r="C84" s="266">
        <f>'Sources and Uses Budget'!$C83</f>
        <v>255109</v>
      </c>
      <c r="D84" s="270">
        <f t="shared" si="1"/>
        <v>0</v>
      </c>
      <c r="E84" s="268"/>
      <c r="F84" s="267"/>
    </row>
    <row r="85" spans="1:6" s="352" customFormat="1">
      <c r="A85" s="269" t="s">
        <v>766</v>
      </c>
      <c r="B85" s="266">
        <f>'Sources and Uses Budget'!$C84</f>
        <v>0</v>
      </c>
      <c r="C85" s="266">
        <f>'Sources and Uses Budget'!$C84</f>
        <v>0</v>
      </c>
      <c r="D85" s="270">
        <f t="shared" si="1"/>
        <v>0</v>
      </c>
      <c r="E85" s="268"/>
      <c r="F85" s="267"/>
    </row>
    <row r="86" spans="1:6" s="352" customFormat="1">
      <c r="A86" s="269" t="s">
        <v>767</v>
      </c>
      <c r="B86" s="266">
        <f>'Sources and Uses Budget'!$C85</f>
        <v>800000</v>
      </c>
      <c r="C86" s="266">
        <f>'Sources and Uses Budget'!$C85</f>
        <v>800000</v>
      </c>
      <c r="D86" s="270">
        <f t="shared" si="1"/>
        <v>0</v>
      </c>
      <c r="E86" s="268"/>
      <c r="F86" s="267"/>
    </row>
    <row r="87" spans="1:6" s="352" customFormat="1">
      <c r="A87" s="269" t="s">
        <v>768</v>
      </c>
      <c r="B87" s="266">
        <f>'Sources and Uses Budget'!$C86</f>
        <v>500000</v>
      </c>
      <c r="C87" s="266">
        <f>'Sources and Uses Budget'!$C86</f>
        <v>500000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50000</v>
      </c>
      <c r="C89" s="266">
        <f>'Sources and Uses Budget'!$C88</f>
        <v>50000</v>
      </c>
      <c r="D89" s="270">
        <f t="shared" si="1"/>
        <v>0</v>
      </c>
      <c r="E89" s="268"/>
      <c r="F89" s="267"/>
    </row>
    <row r="90" spans="1:6" s="352" customFormat="1">
      <c r="A90" s="269" t="s">
        <v>771</v>
      </c>
      <c r="B90" s="266">
        <f>'Sources and Uses Budget'!$C89</f>
        <v>41000</v>
      </c>
      <c r="C90" s="266">
        <f>'Sources and Uses Budget'!$C89</f>
        <v>41000</v>
      </c>
      <c r="D90" s="270">
        <f t="shared" si="1"/>
        <v>0</v>
      </c>
      <c r="E90" s="268"/>
      <c r="F90" s="267"/>
    </row>
    <row r="91" spans="1:6" s="352" customFormat="1">
      <c r="A91" s="269" t="s">
        <v>772</v>
      </c>
      <c r="B91" s="266">
        <f>'Sources and Uses Budget'!$C90</f>
        <v>10000</v>
      </c>
      <c r="C91" s="266">
        <f>'Sources and Uses Budget'!$C90</f>
        <v>10000</v>
      </c>
      <c r="D91" s="270">
        <f t="shared" si="1"/>
        <v>0</v>
      </c>
      <c r="E91" s="268"/>
      <c r="F91" s="267"/>
    </row>
    <row r="92" spans="1:6" s="352" customFormat="1">
      <c r="A92" s="269" t="s">
        <v>372</v>
      </c>
      <c r="B92" s="266">
        <f>'Sources and Uses Budget'!$C91</f>
        <v>55000</v>
      </c>
      <c r="C92" s="266">
        <f>'Sources and Uses Budget'!$C91</f>
        <v>55000</v>
      </c>
      <c r="D92" s="270">
        <f t="shared" si="1"/>
        <v>0</v>
      </c>
      <c r="E92" s="268"/>
      <c r="F92" s="267"/>
    </row>
    <row r="93" spans="1:6" s="352" customFormat="1">
      <c r="A93" s="510" t="s">
        <v>1210</v>
      </c>
      <c r="B93" s="266">
        <f>'Sources and Uses Budget'!$C92</f>
        <v>25000</v>
      </c>
      <c r="C93" s="266">
        <f>'Sources and Uses Budget'!$C92</f>
        <v>25000</v>
      </c>
      <c r="D93" s="270">
        <f t="shared" si="1"/>
        <v>0</v>
      </c>
      <c r="E93" s="268"/>
      <c r="F93" s="267"/>
    </row>
    <row r="94" spans="1:6" s="352" customFormat="1">
      <c r="A94" s="272" t="s">
        <v>34</v>
      </c>
      <c r="B94" s="266">
        <f>'Sources and Uses Budget'!$C93</f>
        <v>4518878</v>
      </c>
      <c r="C94" s="266">
        <f>'Sources and Uses Budget'!$C93</f>
        <v>4518878</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6254987</v>
      </c>
      <c r="C97" s="270">
        <f>SUM(C84:C96)</f>
        <v>6254987</v>
      </c>
      <c r="D97" s="270">
        <f t="shared" si="1"/>
        <v>0</v>
      </c>
      <c r="E97" s="268"/>
      <c r="F97" s="267"/>
    </row>
    <row r="98" spans="1:6" s="352" customFormat="1">
      <c r="A98" s="271" t="s">
        <v>774</v>
      </c>
      <c r="B98" s="270" t="e">
        <f>SUM(B64+B71+B78+B82+B97)</f>
        <v>#REF!</v>
      </c>
      <c r="C98" s="270" t="e">
        <f>SUM(C64+C71+C78+C82+C97)</f>
        <v>#REF!</v>
      </c>
      <c r="D98" s="270" t="e">
        <f t="shared" si="1"/>
        <v>#REF!</v>
      </c>
      <c r="E98" s="268"/>
      <c r="F98" s="267"/>
    </row>
    <row r="99" spans="1:6" s="352" customFormat="1">
      <c r="A99" s="264" t="s">
        <v>775</v>
      </c>
      <c r="B99" s="264"/>
      <c r="C99" s="264"/>
      <c r="D99" s="264"/>
      <c r="E99" s="282"/>
      <c r="F99" s="264"/>
    </row>
    <row r="100" spans="1:6" s="352" customFormat="1">
      <c r="A100" s="145" t="s">
        <v>776</v>
      </c>
      <c r="B100" s="266">
        <f>'Sources and Uses Budget'!$C99</f>
        <v>6823379</v>
      </c>
      <c r="C100" s="266">
        <f>'Sources and Uses Budget'!$C99</f>
        <v>6823379</v>
      </c>
      <c r="D100" s="270">
        <f t="shared" si="1"/>
        <v>0</v>
      </c>
      <c r="E100" s="268"/>
      <c r="F100" s="267"/>
    </row>
    <row r="101" spans="1:6" s="352" customFormat="1">
      <c r="A101" s="283" t="s">
        <v>1634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1635</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6823379</v>
      </c>
      <c r="C105" s="270">
        <f>SUM(C100:C104)</f>
        <v>6823379</v>
      </c>
      <c r="D105" s="270">
        <f t="shared" si="1"/>
        <v>0</v>
      </c>
      <c r="E105" s="268"/>
      <c r="F105" s="267"/>
    </row>
    <row r="106" spans="1:6" s="352" customFormat="1">
      <c r="A106" s="271" t="s">
        <v>779</v>
      </c>
      <c r="B106" s="273" t="e">
        <f>SUM(B98+B105)</f>
        <v>#REF!</v>
      </c>
      <c r="C106" s="273" t="e">
        <f>SUM(C98+C105)</f>
        <v>#REF!</v>
      </c>
      <c r="D106" s="270" t="e">
        <f t="shared" si="1"/>
        <v>#REF!</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zoomScale="90" zoomScaleNormal="9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815" t="s">
        <v>1841</v>
      </c>
      <c r="B1" s="1816"/>
      <c r="C1" s="1816"/>
      <c r="D1" s="1816"/>
      <c r="E1" s="1816"/>
      <c r="F1" s="1816"/>
      <c r="G1" s="1816"/>
      <c r="H1" s="1816"/>
      <c r="I1" s="1816"/>
      <c r="J1" s="1816"/>
    </row>
    <row r="2" spans="1:10" ht="15">
      <c r="A2" s="1819" t="s">
        <v>1267</v>
      </c>
      <c r="B2" s="1820"/>
      <c r="C2" s="1820"/>
      <c r="D2" s="1820"/>
      <c r="E2" s="1820"/>
      <c r="F2" s="1820"/>
      <c r="G2" s="1820"/>
      <c r="H2" s="1820"/>
      <c r="I2" s="1820"/>
      <c r="J2" s="1820"/>
    </row>
    <row r="3" spans="1:10" ht="12.75"/>
    <row r="4" spans="1:10" ht="12.75" customHeight="1">
      <c r="A4" s="1817" t="s">
        <v>2004</v>
      </c>
      <c r="B4" s="1817"/>
      <c r="C4" s="1817"/>
      <c r="D4" s="1817"/>
      <c r="E4" s="1817"/>
      <c r="F4" s="1817"/>
      <c r="G4" s="1817"/>
      <c r="H4" s="1817"/>
      <c r="I4" s="1817"/>
      <c r="J4" s="1817"/>
    </row>
    <row r="5" spans="1:10" ht="12.75">
      <c r="A5" s="1817"/>
      <c r="B5" s="1817"/>
      <c r="C5" s="1817"/>
      <c r="D5" s="1817"/>
      <c r="E5" s="1817"/>
      <c r="F5" s="1817"/>
      <c r="G5" s="1817"/>
      <c r="H5" s="1817"/>
      <c r="I5" s="1817"/>
      <c r="J5" s="1817"/>
    </row>
    <row r="6" spans="1:10" ht="30" customHeight="1">
      <c r="A6" s="1817"/>
      <c r="B6" s="1817"/>
      <c r="C6" s="1817"/>
      <c r="D6" s="1817"/>
      <c r="E6" s="1817"/>
      <c r="F6" s="1817"/>
      <c r="G6" s="1817"/>
      <c r="H6" s="1817"/>
      <c r="I6" s="1817"/>
      <c r="J6" s="1817"/>
    </row>
    <row r="7" spans="1:10" ht="12.7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75"/>
    <row r="10" spans="1:10" ht="12.75" customHeight="1">
      <c r="A10" s="1821" t="s">
        <v>1846</v>
      </c>
      <c r="B10" s="1821"/>
      <c r="C10" s="1821"/>
      <c r="D10" s="1821"/>
      <c r="E10" s="1821"/>
      <c r="F10" s="1821"/>
      <c r="G10" s="1821"/>
      <c r="H10" s="1821"/>
      <c r="I10" s="1821"/>
      <c r="J10" s="1821"/>
    </row>
    <row r="11" spans="1:10" ht="12.75">
      <c r="A11" s="1821"/>
      <c r="B11" s="1821"/>
      <c r="C11" s="1821"/>
      <c r="D11" s="1821"/>
      <c r="E11" s="1821"/>
      <c r="F11" s="1821"/>
      <c r="G11" s="1821"/>
      <c r="H11" s="1821"/>
      <c r="I11" s="1821"/>
      <c r="J11" s="1821"/>
    </row>
    <row r="12" spans="1:10" ht="12.75">
      <c r="A12" s="1821"/>
      <c r="B12" s="1821"/>
      <c r="C12" s="1821"/>
      <c r="D12" s="1821"/>
      <c r="E12" s="1821"/>
      <c r="F12" s="1821"/>
      <c r="G12" s="1821"/>
      <c r="H12" s="1821"/>
      <c r="I12" s="1821"/>
      <c r="J12" s="1821"/>
    </row>
    <row r="13" spans="1:10" ht="12.75">
      <c r="A13" s="1821"/>
      <c r="B13" s="1821"/>
      <c r="C13" s="1821"/>
      <c r="D13" s="1821"/>
      <c r="E13" s="1821"/>
      <c r="F13" s="1821"/>
      <c r="G13" s="1821"/>
      <c r="H13" s="1821"/>
      <c r="I13" s="1821"/>
      <c r="J13" s="1821"/>
    </row>
    <row r="14" spans="1:10" ht="12.75">
      <c r="A14" s="1821"/>
      <c r="B14" s="1821"/>
      <c r="C14" s="1821"/>
      <c r="D14" s="1821"/>
      <c r="E14" s="1821"/>
      <c r="F14" s="1821"/>
      <c r="G14" s="1821"/>
      <c r="H14" s="1821"/>
      <c r="I14" s="1821"/>
      <c r="J14" s="1821"/>
    </row>
    <row r="15" spans="1:10" ht="12.75">
      <c r="A15" s="1821"/>
      <c r="B15" s="1821"/>
      <c r="C15" s="1821"/>
      <c r="D15" s="1821"/>
      <c r="E15" s="1821"/>
      <c r="F15" s="1821"/>
      <c r="G15" s="1821"/>
      <c r="H15" s="1821"/>
      <c r="I15" s="1821"/>
      <c r="J15" s="1821"/>
    </row>
    <row r="16" spans="1:10" ht="12.75">
      <c r="A16" s="524"/>
      <c r="B16" s="524"/>
      <c r="C16" s="524"/>
      <c r="D16" s="524"/>
      <c r="E16" s="524"/>
      <c r="F16" s="524"/>
      <c r="G16" s="524"/>
      <c r="H16" s="524"/>
      <c r="I16" s="524"/>
      <c r="J16" s="524"/>
    </row>
    <row r="17" spans="1:10" ht="12.75">
      <c r="A17" s="476" t="s">
        <v>1845</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820" t="s">
        <v>1188</v>
      </c>
      <c r="B19" s="1820"/>
      <c r="C19" s="1820"/>
      <c r="D19" s="1820"/>
      <c r="E19" s="182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817" t="s">
        <v>1189</v>
      </c>
      <c r="B76" s="1817"/>
      <c r="C76" s="1817"/>
      <c r="D76" s="1817"/>
      <c r="E76" s="1817"/>
      <c r="F76" s="1817"/>
      <c r="G76" s="1817"/>
      <c r="H76" s="1817"/>
      <c r="I76" s="1817"/>
      <c r="J76" s="1817"/>
    </row>
    <row r="77" spans="1:10" ht="12.75">
      <c r="A77" s="1817"/>
      <c r="B77" s="1817"/>
      <c r="C77" s="1817"/>
      <c r="D77" s="1817"/>
      <c r="E77" s="1817"/>
      <c r="F77" s="1817"/>
      <c r="G77" s="1817"/>
      <c r="H77" s="1817"/>
      <c r="I77" s="1817"/>
      <c r="J77" s="1817"/>
    </row>
    <row r="78" spans="1:10" ht="12.75">
      <c r="A78" s="1817"/>
      <c r="B78" s="1817"/>
      <c r="C78" s="1817"/>
      <c r="D78" s="1817"/>
      <c r="E78" s="1817"/>
      <c r="F78" s="1817"/>
      <c r="G78" s="1817"/>
      <c r="H78" s="1817"/>
      <c r="I78" s="1817"/>
      <c r="J78" s="1817"/>
    </row>
    <row r="79" spans="1:10" ht="12.75"/>
    <row r="80" spans="1:10" ht="12.75">
      <c r="A80" s="402" t="s">
        <v>1188</v>
      </c>
    </row>
    <row r="81" spans="1:9" ht="12.75"/>
    <row r="82" spans="1:9" ht="12.75"/>
    <row r="83" spans="1:9" ht="12.75"/>
    <row r="84" spans="1:9" ht="12.75"/>
    <row r="85" spans="1:9" ht="12.75"/>
    <row r="86" spans="1:9" ht="12.75"/>
    <row r="87" spans="1:9" ht="12.75"/>
    <row r="88" spans="1:9" ht="12.75"/>
    <row r="89" spans="1:9" ht="12.75">
      <c r="A89" s="1818" t="s">
        <v>1842</v>
      </c>
      <c r="B89" s="1818"/>
      <c r="C89" s="1818"/>
      <c r="D89" s="1818"/>
      <c r="E89" s="1818"/>
      <c r="F89" s="1818"/>
      <c r="G89" s="1818"/>
      <c r="H89" s="1818"/>
      <c r="I89" s="1818"/>
    </row>
    <row r="90" spans="1:9" ht="12.75">
      <c r="A90" s="1810" t="s">
        <v>2002</v>
      </c>
      <c r="B90" s="1810"/>
      <c r="C90" s="1810"/>
      <c r="D90" s="1810"/>
      <c r="E90" s="1810"/>
    </row>
    <row r="91" spans="1:9" ht="12.75">
      <c r="A91" s="1810" t="s">
        <v>2003</v>
      </c>
      <c r="B91" s="1810"/>
      <c r="C91" s="1810"/>
      <c r="D91" s="1810"/>
      <c r="E91" s="1810"/>
    </row>
    <row r="92" spans="1:9" ht="12.75">
      <c r="A92" s="1810" t="s">
        <v>1843</v>
      </c>
      <c r="B92" s="1810"/>
      <c r="C92" s="1810"/>
      <c r="D92" s="1810"/>
      <c r="E92" s="1810"/>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zoomScaleNormal="100" workbookViewId="0">
      <selection activeCell="F22" sqref="F22"/>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871" t="s">
        <v>2593</v>
      </c>
      <c r="B2" s="1871"/>
      <c r="C2" s="1871"/>
      <c r="D2" s="1871"/>
      <c r="E2" s="1871"/>
      <c r="F2" s="1871"/>
      <c r="G2" s="1871"/>
      <c r="H2" s="1871"/>
      <c r="I2" s="1871"/>
    </row>
    <row r="3" spans="1:13">
      <c r="A3" s="1861" t="s">
        <v>2171</v>
      </c>
      <c r="B3" s="1861"/>
      <c r="C3" s="1861"/>
      <c r="D3" s="1861"/>
      <c r="E3" s="1861"/>
      <c r="F3" s="1861"/>
      <c r="G3" s="1861"/>
      <c r="H3" s="1861"/>
      <c r="I3" s="1861"/>
    </row>
    <row r="4" spans="1:13">
      <c r="A4" s="1861"/>
      <c r="B4" s="1861"/>
      <c r="C4" s="1820"/>
      <c r="D4" s="1820"/>
      <c r="E4" s="1820"/>
      <c r="F4" s="1820"/>
      <c r="G4" s="1820"/>
    </row>
    <row r="5" spans="1:13">
      <c r="A5" s="1861"/>
      <c r="B5" s="1861"/>
      <c r="C5" s="1820"/>
      <c r="D5" s="1820"/>
      <c r="E5" s="1820"/>
      <c r="F5" s="1820"/>
      <c r="G5" s="1820"/>
    </row>
    <row r="6" spans="1:13" ht="12.75" customHeight="1">
      <c r="A6" s="1864" t="s">
        <v>2170</v>
      </c>
      <c r="B6" s="1864"/>
      <c r="C6" s="1864"/>
      <c r="D6" s="1864"/>
      <c r="E6" s="1864"/>
      <c r="F6" s="1864"/>
      <c r="G6" s="1864"/>
      <c r="I6" s="490"/>
    </row>
    <row r="7" spans="1:13">
      <c r="A7" s="1864"/>
      <c r="B7" s="1864"/>
      <c r="C7" s="1864"/>
      <c r="D7" s="1864"/>
      <c r="E7" s="1864"/>
      <c r="F7" s="1864"/>
      <c r="G7" s="1864"/>
      <c r="I7" s="490"/>
    </row>
    <row r="8" spans="1:13">
      <c r="A8" s="481"/>
      <c r="B8" s="481"/>
      <c r="C8" s="482"/>
      <c r="D8" s="482"/>
      <c r="E8" s="482"/>
      <c r="F8" s="482"/>
    </row>
    <row r="9" spans="1:13">
      <c r="A9" s="1840" t="s">
        <v>1100</v>
      </c>
      <c r="B9" s="1840"/>
      <c r="C9" s="1840"/>
      <c r="D9" s="1840"/>
      <c r="E9" s="1840"/>
      <c r="F9" s="1840"/>
      <c r="G9" s="1840"/>
      <c r="H9" s="1023"/>
      <c r="I9" s="1024"/>
    </row>
    <row r="10" spans="1:13">
      <c r="A10" s="482"/>
      <c r="B10" s="482"/>
      <c r="E10" s="404"/>
    </row>
    <row r="11" spans="1:13" ht="13.7" customHeight="1">
      <c r="C11" s="482"/>
      <c r="D11" s="1863" t="s">
        <v>1099</v>
      </c>
      <c r="E11" s="1863"/>
      <c r="F11" s="1863"/>
    </row>
    <row r="12" spans="1:13">
      <c r="C12" s="482"/>
      <c r="D12" s="1863"/>
      <c r="E12" s="1863"/>
      <c r="F12" s="1863"/>
    </row>
    <row r="13" spans="1:13">
      <c r="A13" s="483"/>
      <c r="B13" s="483"/>
      <c r="C13" s="483"/>
      <c r="D13" s="1841" t="s">
        <v>1089</v>
      </c>
      <c r="E13" s="1841"/>
      <c r="F13" s="1841"/>
      <c r="M13" s="96"/>
    </row>
    <row r="14" spans="1:13">
      <c r="A14" s="483"/>
      <c r="B14" s="483"/>
      <c r="C14" s="483"/>
      <c r="D14" s="476"/>
      <c r="L14" s="312"/>
    </row>
    <row r="15" spans="1:13" ht="14.25">
      <c r="A15" s="484"/>
      <c r="B15" s="485" t="s">
        <v>2776</v>
      </c>
      <c r="C15" s="483"/>
      <c r="D15" s="1839" t="s">
        <v>1893</v>
      </c>
      <c r="E15" s="1839"/>
      <c r="F15" s="1839"/>
      <c r="I15" s="490"/>
    </row>
    <row r="16" spans="1:13">
      <c r="A16" s="483"/>
      <c r="B16" s="483"/>
      <c r="C16" s="483"/>
      <c r="D16" s="1839"/>
      <c r="E16" s="1839"/>
      <c r="F16" s="1839"/>
      <c r="I16" s="490"/>
    </row>
    <row r="17" spans="1:9">
      <c r="A17" s="483"/>
      <c r="B17" s="483"/>
      <c r="C17" s="483"/>
      <c r="D17" s="1839"/>
      <c r="E17" s="1839"/>
      <c r="F17" s="1839"/>
      <c r="I17" s="490"/>
    </row>
    <row r="18" spans="1:9">
      <c r="A18" s="483"/>
      <c r="B18" s="483"/>
      <c r="C18" s="483"/>
      <c r="D18" s="445"/>
      <c r="E18" s="312" t="s">
        <v>1891</v>
      </c>
      <c r="F18" s="445"/>
      <c r="I18" s="490"/>
    </row>
    <row r="19" spans="1:9">
      <c r="A19" s="483"/>
      <c r="B19" s="483"/>
      <c r="C19" s="483"/>
      <c r="I19" s="490"/>
    </row>
    <row r="20" spans="1:9" ht="14.25">
      <c r="A20" s="484"/>
      <c r="B20" s="485" t="s">
        <v>2776</v>
      </c>
      <c r="D20" s="1839" t="s">
        <v>1894</v>
      </c>
      <c r="E20" s="1839"/>
      <c r="F20" s="1839"/>
      <c r="I20" s="490"/>
    </row>
    <row r="21" spans="1:9" ht="14.25">
      <c r="A21" s="484"/>
      <c r="D21" s="1839"/>
      <c r="E21" s="1839"/>
      <c r="F21" s="1839"/>
      <c r="I21" s="490"/>
    </row>
    <row r="22" spans="1:9" ht="14.25">
      <c r="A22" s="484"/>
      <c r="D22" s="392"/>
      <c r="E22" s="96" t="s">
        <v>1890</v>
      </c>
      <c r="F22" s="392"/>
      <c r="I22" s="490"/>
    </row>
    <row r="23" spans="1:9" ht="14.25">
      <c r="A23" s="484"/>
      <c r="B23" s="484"/>
      <c r="D23" s="446"/>
      <c r="I23" s="490"/>
    </row>
    <row r="24" spans="1:9" ht="14.25">
      <c r="A24" s="484"/>
      <c r="B24" s="485" t="s">
        <v>2765</v>
      </c>
      <c r="D24" s="1839" t="s">
        <v>1090</v>
      </c>
      <c r="E24" s="1839"/>
      <c r="F24" s="1839"/>
      <c r="I24" s="490"/>
    </row>
    <row r="25" spans="1:9" ht="14.25">
      <c r="A25" s="484"/>
      <c r="B25" s="484"/>
      <c r="D25" s="1839"/>
      <c r="E25" s="1839"/>
      <c r="F25" s="1839"/>
      <c r="I25" s="490"/>
    </row>
    <row r="26" spans="1:9">
      <c r="I26" s="490"/>
    </row>
    <row r="27" spans="1:9" ht="14.25">
      <c r="A27" s="484"/>
      <c r="B27" s="485" t="s">
        <v>2776</v>
      </c>
      <c r="D27" s="1839" t="s">
        <v>2005</v>
      </c>
      <c r="E27" s="1839"/>
      <c r="F27" s="1839"/>
      <c r="I27" s="490"/>
    </row>
    <row r="28" spans="1:9">
      <c r="D28" s="1839"/>
      <c r="E28" s="1839"/>
      <c r="F28" s="1839"/>
      <c r="I28" s="490"/>
    </row>
    <row r="29" spans="1:9">
      <c r="D29" s="1839"/>
      <c r="E29" s="1839"/>
      <c r="F29" s="1839"/>
      <c r="I29" s="490"/>
    </row>
    <row r="30" spans="1:9">
      <c r="D30" s="1839"/>
      <c r="E30" s="1839"/>
      <c r="F30" s="1839"/>
      <c r="I30" s="490"/>
    </row>
    <row r="31" spans="1:9">
      <c r="D31" s="1839"/>
      <c r="E31" s="1839"/>
      <c r="F31" s="1839"/>
      <c r="I31" s="490"/>
    </row>
    <row r="32" spans="1:9">
      <c r="D32" s="447"/>
      <c r="I32" s="490"/>
    </row>
    <row r="33" spans="1:9">
      <c r="B33" s="485" t="s">
        <v>2765</v>
      </c>
      <c r="D33" s="1839" t="s">
        <v>2006</v>
      </c>
      <c r="E33" s="1839"/>
      <c r="F33" s="1839"/>
      <c r="I33" s="490"/>
    </row>
    <row r="34" spans="1:9">
      <c r="D34" s="1839"/>
      <c r="E34" s="1839"/>
      <c r="F34" s="1839"/>
      <c r="I34" s="490"/>
    </row>
    <row r="35" spans="1:9" ht="14.25">
      <c r="A35" s="484"/>
      <c r="B35" s="484"/>
      <c r="D35" s="447"/>
      <c r="I35" s="490"/>
    </row>
    <row r="36" spans="1:9" ht="14.45" customHeight="1">
      <c r="A36" s="484"/>
      <c r="B36" s="485" t="s">
        <v>2765</v>
      </c>
      <c r="D36" s="1839" t="s">
        <v>1213</v>
      </c>
      <c r="E36" s="1839"/>
      <c r="F36" s="1839"/>
      <c r="I36" s="490"/>
    </row>
    <row r="37" spans="1:9" ht="14.25">
      <c r="A37" s="484"/>
      <c r="B37" s="484"/>
      <c r="D37" s="1839"/>
      <c r="E37" s="1839"/>
      <c r="F37" s="1839"/>
      <c r="I37" s="490"/>
    </row>
    <row r="38" spans="1:9" ht="14.25">
      <c r="A38" s="484"/>
      <c r="B38" s="484"/>
      <c r="D38" s="1839"/>
      <c r="E38" s="1839"/>
      <c r="F38" s="1839"/>
      <c r="I38" s="490"/>
    </row>
    <row r="39" spans="1:9" ht="14.25">
      <c r="A39" s="484"/>
      <c r="B39" s="484"/>
      <c r="D39" s="1839"/>
      <c r="E39" s="1839"/>
      <c r="F39" s="1839"/>
      <c r="I39" s="490"/>
    </row>
    <row r="40" spans="1:9" ht="14.25">
      <c r="A40" s="484"/>
      <c r="B40" s="484"/>
      <c r="I40" s="490"/>
    </row>
    <row r="41" spans="1:9" ht="14.25">
      <c r="A41" s="484"/>
      <c r="B41" s="485" t="s">
        <v>2765</v>
      </c>
      <c r="D41" s="1839" t="s">
        <v>1091</v>
      </c>
      <c r="E41" s="1839"/>
      <c r="F41" s="1839"/>
      <c r="I41" s="490"/>
    </row>
    <row r="42" spans="1:9" ht="14.25">
      <c r="A42" s="484"/>
      <c r="B42" s="484"/>
      <c r="D42" s="1839"/>
      <c r="E42" s="1839"/>
      <c r="F42" s="1839"/>
      <c r="I42" s="490"/>
    </row>
    <row r="43" spans="1:9" ht="14.25">
      <c r="A43" s="484"/>
      <c r="B43" s="484"/>
      <c r="D43" s="1839"/>
      <c r="E43" s="1839"/>
      <c r="F43" s="1839"/>
      <c r="I43" s="490"/>
    </row>
    <row r="44" spans="1:9" ht="14.25">
      <c r="A44" s="484"/>
      <c r="B44" s="484"/>
      <c r="D44" s="1839"/>
      <c r="E44" s="1839"/>
      <c r="F44" s="1839"/>
      <c r="I44" s="490"/>
    </row>
    <row r="45" spans="1:9" ht="14.25">
      <c r="A45" s="484"/>
      <c r="B45" s="484"/>
      <c r="D45" s="1839"/>
      <c r="E45" s="1839"/>
      <c r="F45" s="1839"/>
      <c r="I45" s="490"/>
    </row>
    <row r="46" spans="1:9" ht="14.25">
      <c r="A46" s="484"/>
      <c r="B46" s="484"/>
      <c r="D46" s="445"/>
      <c r="E46" s="445"/>
      <c r="F46" s="445"/>
      <c r="I46" s="490"/>
    </row>
    <row r="47" spans="1:9" ht="14.25">
      <c r="A47" s="484"/>
      <c r="B47" s="485" t="s">
        <v>2765</v>
      </c>
      <c r="D47" s="1839" t="s">
        <v>1092</v>
      </c>
      <c r="E47" s="1839"/>
      <c r="F47" s="1839"/>
      <c r="I47" s="490"/>
    </row>
    <row r="48" spans="1:9" ht="14.25">
      <c r="A48" s="484"/>
      <c r="B48" s="484"/>
      <c r="D48" s="1839"/>
      <c r="E48" s="1839"/>
      <c r="F48" s="1839"/>
      <c r="I48" s="490"/>
    </row>
    <row r="49" spans="1:9" ht="14.25">
      <c r="A49" s="484"/>
      <c r="B49" s="484"/>
      <c r="D49" s="1839"/>
      <c r="E49" s="1839"/>
      <c r="F49" s="1839"/>
      <c r="I49" s="490"/>
    </row>
    <row r="50" spans="1:9" ht="23.25" customHeight="1">
      <c r="A50" s="484"/>
      <c r="B50" s="484"/>
      <c r="D50" s="1839"/>
      <c r="E50" s="1839"/>
      <c r="F50" s="1839"/>
      <c r="I50" s="490"/>
    </row>
    <row r="51" spans="1:9" ht="14.25">
      <c r="A51" s="484"/>
      <c r="B51" s="484"/>
      <c r="D51" s="446"/>
      <c r="I51" s="490"/>
    </row>
    <row r="52" spans="1:9" ht="14.45" customHeight="1">
      <c r="A52" s="484"/>
      <c r="B52" s="485" t="s">
        <v>2765</v>
      </c>
      <c r="D52" s="1839" t="s">
        <v>1093</v>
      </c>
      <c r="E52" s="1839"/>
      <c r="F52" s="1839"/>
      <c r="I52" s="490"/>
    </row>
    <row r="53" spans="1:9" ht="14.25">
      <c r="A53" s="484"/>
      <c r="B53" s="484"/>
      <c r="D53" s="1839"/>
      <c r="E53" s="1839"/>
      <c r="F53" s="1839"/>
      <c r="I53" s="490"/>
    </row>
    <row r="54" spans="1:9" ht="14.25">
      <c r="A54" s="484"/>
      <c r="B54" s="484"/>
      <c r="D54" s="1839"/>
      <c r="E54" s="1839"/>
      <c r="F54" s="1839"/>
      <c r="I54" s="490"/>
    </row>
    <row r="55" spans="1:9" ht="14.25">
      <c r="A55" s="484"/>
      <c r="B55" s="484"/>
      <c r="I55" s="490"/>
    </row>
    <row r="56" spans="1:9" ht="14.25">
      <c r="A56" s="484"/>
      <c r="B56" s="485" t="s">
        <v>2776</v>
      </c>
      <c r="D56" s="1866" t="s">
        <v>1094</v>
      </c>
      <c r="E56" s="1866"/>
      <c r="F56" s="1866"/>
      <c r="I56" s="490"/>
    </row>
    <row r="57" spans="1:9" ht="14.25">
      <c r="A57" s="484"/>
      <c r="B57" s="484"/>
      <c r="D57" s="1866"/>
      <c r="E57" s="1866"/>
      <c r="F57" s="1866"/>
      <c r="I57" s="490"/>
    </row>
    <row r="58" spans="1:9" ht="14.25">
      <c r="A58" s="484"/>
      <c r="B58" s="484"/>
      <c r="D58" s="392" t="s">
        <v>1892</v>
      </c>
      <c r="E58" s="445"/>
      <c r="F58" s="445"/>
      <c r="I58" s="490"/>
    </row>
    <row r="59" spans="1:9" ht="14.25">
      <c r="A59" s="484"/>
      <c r="B59" s="484"/>
      <c r="D59" s="445"/>
      <c r="E59" s="312" t="s">
        <v>1891</v>
      </c>
      <c r="F59" s="445"/>
      <c r="I59" s="490"/>
    </row>
    <row r="60" spans="1:9">
      <c r="D60" s="447"/>
      <c r="I60" s="490"/>
    </row>
    <row r="61" spans="1:9" ht="14.25">
      <c r="A61" s="484"/>
      <c r="B61" s="485" t="s">
        <v>2765</v>
      </c>
      <c r="D61" s="1839" t="s">
        <v>1095</v>
      </c>
      <c r="E61" s="1839"/>
      <c r="F61" s="1839"/>
      <c r="I61" s="490"/>
    </row>
    <row r="62" spans="1:9">
      <c r="D62" s="1839"/>
      <c r="E62" s="1839"/>
      <c r="F62" s="1839"/>
      <c r="I62" s="490"/>
    </row>
    <row r="63" spans="1:9">
      <c r="D63" s="1839"/>
      <c r="E63" s="1839"/>
      <c r="F63" s="1839"/>
      <c r="I63" s="490"/>
    </row>
    <row r="64" spans="1:9">
      <c r="I64" s="490"/>
    </row>
    <row r="65" spans="1:9" ht="14.25">
      <c r="A65" s="484"/>
      <c r="B65" s="485" t="s">
        <v>2765</v>
      </c>
      <c r="D65" s="1839" t="s">
        <v>1096</v>
      </c>
      <c r="E65" s="1839"/>
      <c r="F65" s="1839"/>
      <c r="I65" s="490"/>
    </row>
    <row r="66" spans="1:9">
      <c r="D66" s="1839"/>
      <c r="E66" s="1839"/>
      <c r="F66" s="1839"/>
      <c r="I66" s="490"/>
    </row>
    <row r="67" spans="1:9">
      <c r="I67" s="490"/>
    </row>
    <row r="68" spans="1:9" ht="14.25">
      <c r="A68" s="484"/>
      <c r="B68" s="485" t="s">
        <v>2776</v>
      </c>
      <c r="D68" s="1839" t="s">
        <v>1097</v>
      </c>
      <c r="E68" s="1839"/>
      <c r="F68" s="1839"/>
      <c r="I68" s="490"/>
    </row>
    <row r="69" spans="1:9">
      <c r="D69" s="1839"/>
      <c r="E69" s="1839"/>
      <c r="F69" s="1839"/>
      <c r="I69" s="490"/>
    </row>
    <row r="70" spans="1:9">
      <c r="D70" s="1839"/>
      <c r="E70" s="1839"/>
      <c r="F70" s="1839"/>
      <c r="I70" s="490"/>
    </row>
    <row r="71" spans="1:9">
      <c r="I71" s="490"/>
    </row>
    <row r="72" spans="1:9" ht="14.25">
      <c r="A72" s="484"/>
      <c r="B72" s="485" t="s">
        <v>2776</v>
      </c>
      <c r="D72" s="1839" t="s">
        <v>1098</v>
      </c>
      <c r="E72" s="1839"/>
      <c r="F72" s="1839"/>
      <c r="I72" s="490"/>
    </row>
    <row r="73" spans="1:9">
      <c r="D73" s="1839"/>
      <c r="E73" s="1839"/>
      <c r="F73" s="1839"/>
      <c r="I73" s="490"/>
    </row>
    <row r="74" spans="1:9" ht="14.25">
      <c r="A74" s="484"/>
      <c r="B74" s="484"/>
      <c r="D74" s="446"/>
      <c r="I74" s="490"/>
    </row>
    <row r="75" spans="1:9">
      <c r="A75" s="1840" t="s">
        <v>1043</v>
      </c>
      <c r="B75" s="1840"/>
      <c r="C75" s="1840"/>
      <c r="D75" s="1840"/>
      <c r="E75" s="1840"/>
      <c r="F75" s="1840"/>
      <c r="G75" s="1840"/>
      <c r="H75" s="1023"/>
      <c r="I75" s="1147"/>
    </row>
    <row r="76" spans="1:9">
      <c r="I76" s="490"/>
    </row>
    <row r="77" spans="1:9">
      <c r="C77" s="486"/>
      <c r="D77" s="1859" t="s">
        <v>1101</v>
      </c>
      <c r="E77" s="1859"/>
      <c r="F77" s="1859"/>
      <c r="I77" s="490"/>
    </row>
    <row r="78" spans="1:9">
      <c r="A78" s="446"/>
      <c r="B78" s="446"/>
      <c r="D78" s="1839" t="s">
        <v>1116</v>
      </c>
      <c r="E78" s="1839"/>
      <c r="F78" s="1839"/>
      <c r="I78" s="490"/>
    </row>
    <row r="79" spans="1:9">
      <c r="A79" s="446"/>
      <c r="B79" s="446"/>
      <c r="I79" s="490"/>
    </row>
    <row r="80" spans="1:9" ht="13.7" customHeight="1">
      <c r="A80" s="484"/>
      <c r="B80" s="485" t="s">
        <v>2776</v>
      </c>
      <c r="D80" s="1839" t="s">
        <v>1244</v>
      </c>
      <c r="E80" s="1839"/>
      <c r="F80" s="1839"/>
      <c r="I80" s="490"/>
    </row>
    <row r="81" spans="1:9" ht="14.25">
      <c r="A81" s="484"/>
      <c r="B81" s="484"/>
      <c r="D81" s="1839"/>
      <c r="E81" s="1839"/>
      <c r="F81" s="1839"/>
      <c r="I81" s="490"/>
    </row>
    <row r="82" spans="1:9" ht="14.25">
      <c r="A82" s="484"/>
      <c r="B82" s="484"/>
      <c r="D82" s="1839"/>
      <c r="E82" s="1839"/>
      <c r="F82" s="1839"/>
      <c r="I82" s="490"/>
    </row>
    <row r="83" spans="1:9" ht="14.25">
      <c r="A83" s="484"/>
      <c r="B83" s="484"/>
      <c r="D83" s="1839"/>
      <c r="E83" s="1839"/>
      <c r="F83" s="1839"/>
      <c r="I83" s="490"/>
    </row>
    <row r="84" spans="1:9" ht="14.25">
      <c r="A84" s="484"/>
      <c r="B84" s="484"/>
      <c r="D84" s="1839"/>
      <c r="E84" s="1839"/>
      <c r="F84" s="1839"/>
      <c r="I84" s="490"/>
    </row>
    <row r="85" spans="1:9" ht="14.25">
      <c r="A85" s="484"/>
      <c r="B85" s="484"/>
      <c r="D85" s="1839"/>
      <c r="E85" s="1839"/>
      <c r="F85" s="1839"/>
      <c r="I85" s="490"/>
    </row>
    <row r="86" spans="1:9" ht="14.25">
      <c r="A86" s="484"/>
      <c r="B86" s="484"/>
      <c r="D86" s="1839"/>
      <c r="E86" s="1839"/>
      <c r="F86" s="1839"/>
      <c r="I86" s="490"/>
    </row>
    <row r="87" spans="1:9" ht="14.25">
      <c r="A87" s="484"/>
      <c r="B87" s="484"/>
      <c r="D87" s="1839"/>
      <c r="E87" s="1839"/>
      <c r="F87" s="1839"/>
      <c r="I87" s="490"/>
    </row>
    <row r="88" spans="1:9" ht="14.25">
      <c r="A88" s="484"/>
      <c r="B88" s="484"/>
      <c r="D88" s="385"/>
      <c r="E88" s="385"/>
      <c r="F88" s="385"/>
      <c r="I88" s="490"/>
    </row>
    <row r="89" spans="1:9" ht="15" customHeight="1">
      <c r="A89" s="484"/>
      <c r="B89" s="485" t="s">
        <v>2776</v>
      </c>
      <c r="D89" s="1839" t="s">
        <v>1729</v>
      </c>
      <c r="E89" s="1839"/>
      <c r="F89" s="1839"/>
      <c r="I89" s="490"/>
    </row>
    <row r="90" spans="1:9" ht="14.25">
      <c r="A90" s="484"/>
      <c r="B90" s="484"/>
      <c r="D90" s="1839"/>
      <c r="E90" s="1839"/>
      <c r="F90" s="1839"/>
      <c r="I90" s="490"/>
    </row>
    <row r="91" spans="1:9" ht="14.25">
      <c r="A91" s="484"/>
      <c r="B91" s="484"/>
      <c r="D91" s="445"/>
      <c r="E91" s="445"/>
      <c r="F91" s="445"/>
      <c r="I91" s="490"/>
    </row>
    <row r="92" spans="1:9" ht="14.25">
      <c r="A92" s="484"/>
      <c r="B92" s="485" t="s">
        <v>2776</v>
      </c>
      <c r="D92" s="1839" t="s">
        <v>1732</v>
      </c>
      <c r="E92" s="1839"/>
      <c r="F92" s="1839"/>
      <c r="I92" s="490"/>
    </row>
    <row r="93" spans="1:9" ht="14.25">
      <c r="A93" s="484"/>
      <c r="B93" s="484"/>
      <c r="D93" s="1839"/>
      <c r="E93" s="1839"/>
      <c r="F93" s="1839"/>
      <c r="I93" s="490"/>
    </row>
    <row r="94" spans="1:9" ht="14.25">
      <c r="A94" s="484"/>
      <c r="B94" s="484"/>
      <c r="D94" s="1839"/>
      <c r="E94" s="1839"/>
      <c r="F94" s="1839"/>
      <c r="I94" s="490"/>
    </row>
    <row r="95" spans="1:9" ht="14.25">
      <c r="A95" s="484"/>
      <c r="B95" s="484"/>
      <c r="D95" s="445"/>
      <c r="E95" s="445"/>
      <c r="F95" s="445"/>
      <c r="I95" s="490"/>
    </row>
    <row r="96" spans="1:9" ht="14.25">
      <c r="A96" s="484"/>
      <c r="B96" s="485" t="s">
        <v>2776</v>
      </c>
      <c r="D96" s="1839" t="s">
        <v>1731</v>
      </c>
      <c r="E96" s="1839"/>
      <c r="F96" s="1839"/>
      <c r="I96" s="490"/>
    </row>
    <row r="97" spans="1:9" s="982" customFormat="1" ht="14.25">
      <c r="A97" s="980"/>
      <c r="B97" s="980"/>
      <c r="C97" s="981"/>
      <c r="D97" s="1839"/>
      <c r="E97" s="1839"/>
      <c r="F97" s="1839"/>
      <c r="I97" s="1148"/>
    </row>
    <row r="98" spans="1:9" ht="14.25">
      <c r="A98" s="484"/>
      <c r="B98" s="484"/>
      <c r="D98" s="392"/>
      <c r="E98" s="312" t="s">
        <v>1895</v>
      </c>
      <c r="F98" s="445"/>
      <c r="I98" s="490"/>
    </row>
    <row r="99" spans="1:9" ht="14.25">
      <c r="A99" s="484"/>
      <c r="B99" s="484"/>
      <c r="D99" s="385"/>
      <c r="E99" s="385"/>
      <c r="F99" s="385"/>
      <c r="I99" s="490"/>
    </row>
    <row r="100" spans="1:9" ht="14.25">
      <c r="A100" s="484"/>
      <c r="B100" s="485" t="s">
        <v>2765</v>
      </c>
      <c r="D100" s="1839" t="s">
        <v>1730</v>
      </c>
      <c r="E100" s="1839"/>
      <c r="F100" s="1839"/>
      <c r="I100" s="490"/>
    </row>
    <row r="101" spans="1:9" ht="14.25">
      <c r="A101" s="484"/>
      <c r="B101" s="484"/>
      <c r="D101" s="1839"/>
      <c r="E101" s="1839"/>
      <c r="F101" s="1839"/>
      <c r="I101" s="490"/>
    </row>
    <row r="102" spans="1:9" ht="14.25">
      <c r="A102" s="484"/>
      <c r="B102" s="484"/>
      <c r="D102" s="445"/>
      <c r="E102" s="445"/>
      <c r="F102" s="445"/>
      <c r="I102" s="490"/>
    </row>
    <row r="103" spans="1:9" ht="14.45" customHeight="1">
      <c r="A103" s="484"/>
      <c r="B103" s="485" t="s">
        <v>2765</v>
      </c>
      <c r="D103" s="1839" t="s">
        <v>1193</v>
      </c>
      <c r="E103" s="1839"/>
      <c r="F103" s="1839"/>
      <c r="I103" s="490"/>
    </row>
    <row r="104" spans="1:9" ht="14.25">
      <c r="A104" s="484"/>
      <c r="B104" s="484"/>
      <c r="D104" s="1839"/>
      <c r="E104" s="1839"/>
      <c r="F104" s="1839"/>
      <c r="I104" s="490"/>
    </row>
    <row r="105" spans="1:9" ht="14.25">
      <c r="A105" s="484"/>
      <c r="B105" s="484"/>
      <c r="D105" s="1839"/>
      <c r="E105" s="1839"/>
      <c r="F105" s="1839"/>
      <c r="I105" s="490"/>
    </row>
    <row r="106" spans="1:9" ht="14.25">
      <c r="A106" s="484"/>
      <c r="B106" s="484"/>
      <c r="D106" s="1839"/>
      <c r="E106" s="1839"/>
      <c r="F106" s="1839"/>
      <c r="I106" s="490"/>
    </row>
    <row r="107" spans="1:9" ht="14.25">
      <c r="A107" s="484"/>
      <c r="B107" s="484"/>
      <c r="D107" s="1839"/>
      <c r="E107" s="1839"/>
      <c r="F107" s="1839"/>
      <c r="I107" s="490"/>
    </row>
    <row r="108" spans="1:9" ht="14.25">
      <c r="A108" s="484"/>
      <c r="B108" s="484"/>
      <c r="D108" s="1839"/>
      <c r="E108" s="1839"/>
      <c r="F108" s="1839"/>
      <c r="I108" s="490"/>
    </row>
    <row r="109" spans="1:9" ht="14.25">
      <c r="A109" s="484"/>
      <c r="B109" s="484"/>
      <c r="D109" s="1839"/>
      <c r="E109" s="1839"/>
      <c r="F109" s="1839"/>
      <c r="I109" s="490"/>
    </row>
    <row r="110" spans="1:9" ht="14.25">
      <c r="A110" s="484"/>
      <c r="B110" s="484"/>
      <c r="D110" s="1839"/>
      <c r="E110" s="1839"/>
      <c r="F110" s="1839"/>
      <c r="I110" s="490"/>
    </row>
    <row r="111" spans="1:9" ht="14.25">
      <c r="A111" s="484"/>
      <c r="B111" s="484"/>
      <c r="D111" s="1839"/>
      <c r="E111" s="1839"/>
      <c r="F111" s="1839"/>
      <c r="I111" s="490"/>
    </row>
    <row r="112" spans="1:9" ht="14.25">
      <c r="A112" s="484"/>
      <c r="B112" s="484"/>
      <c r="D112" s="1839"/>
      <c r="E112" s="1839"/>
      <c r="F112" s="1839"/>
      <c r="I112" s="490"/>
    </row>
    <row r="113" spans="1:9" ht="14.25">
      <c r="A113" s="484"/>
      <c r="B113" s="484"/>
      <c r="D113" s="1839"/>
      <c r="E113" s="1839"/>
      <c r="F113" s="1839"/>
      <c r="I113" s="490"/>
    </row>
    <row r="114" spans="1:9" ht="14.25">
      <c r="A114" s="484"/>
      <c r="B114" s="484"/>
      <c r="D114" s="1839"/>
      <c r="E114" s="1839"/>
      <c r="F114" s="1839"/>
      <c r="I114" s="490"/>
    </row>
    <row r="115" spans="1:9" ht="14.25">
      <c r="A115" s="484"/>
      <c r="B115" s="484"/>
      <c r="D115" s="1839"/>
      <c r="E115" s="1839"/>
      <c r="F115" s="1839"/>
      <c r="I115" s="490"/>
    </row>
    <row r="116" spans="1:9" ht="14.25">
      <c r="A116" s="484"/>
      <c r="B116" s="484"/>
      <c r="D116" s="1839"/>
      <c r="E116" s="1839"/>
      <c r="F116" s="1839"/>
      <c r="I116" s="490"/>
    </row>
    <row r="117" spans="1:9" ht="14.25">
      <c r="A117" s="484"/>
      <c r="B117" s="484"/>
      <c r="D117" s="1839"/>
      <c r="E117" s="1839"/>
      <c r="F117" s="1839"/>
      <c r="I117" s="490"/>
    </row>
    <row r="118" spans="1:9" ht="14.25">
      <c r="A118" s="484"/>
      <c r="B118" s="484"/>
      <c r="D118" s="524"/>
      <c r="E118" s="524"/>
      <c r="F118" s="524"/>
      <c r="I118" s="490"/>
    </row>
    <row r="119" spans="1:9" ht="14.25" customHeight="1">
      <c r="A119" s="484"/>
      <c r="B119" s="485" t="s">
        <v>2765</v>
      </c>
      <c r="D119" s="1865" t="s">
        <v>1102</v>
      </c>
      <c r="E119" s="1865"/>
      <c r="F119" s="1865"/>
      <c r="I119" s="490"/>
    </row>
    <row r="120" spans="1:9" ht="14.25">
      <c r="A120" s="484"/>
      <c r="B120" s="484"/>
      <c r="D120" s="1865"/>
      <c r="E120" s="1865"/>
      <c r="F120" s="1865"/>
      <c r="I120" s="490"/>
    </row>
    <row r="121" spans="1:9" ht="14.25">
      <c r="A121" s="484"/>
      <c r="B121" s="484"/>
      <c r="D121" s="1865"/>
      <c r="E121" s="1865"/>
      <c r="F121" s="1865"/>
      <c r="I121" s="490"/>
    </row>
    <row r="122" spans="1:9" ht="14.25">
      <c r="A122" s="484"/>
      <c r="B122" s="484"/>
      <c r="D122" s="1865"/>
      <c r="E122" s="1865"/>
      <c r="F122" s="1865"/>
      <c r="I122" s="490"/>
    </row>
    <row r="123" spans="1:9" ht="14.25">
      <c r="A123" s="484"/>
      <c r="B123" s="484"/>
      <c r="D123" s="1865"/>
      <c r="E123" s="1865"/>
      <c r="F123" s="1865"/>
      <c r="I123" s="490"/>
    </row>
    <row r="124" spans="1:9" ht="14.25">
      <c r="A124" s="484"/>
      <c r="B124" s="484"/>
      <c r="D124" s="1865"/>
      <c r="E124" s="1865"/>
      <c r="F124" s="1865"/>
      <c r="I124" s="490"/>
    </row>
    <row r="125" spans="1:9" ht="14.25">
      <c r="A125" s="484"/>
      <c r="B125" s="484"/>
      <c r="D125" s="1865"/>
      <c r="E125" s="1865"/>
      <c r="F125" s="1865"/>
      <c r="I125" s="490"/>
    </row>
    <row r="126" spans="1:9" ht="14.25">
      <c r="A126" s="484"/>
      <c r="B126" s="484"/>
      <c r="D126" s="1865"/>
      <c r="E126" s="1865"/>
      <c r="F126" s="1865"/>
      <c r="I126" s="490"/>
    </row>
    <row r="127" spans="1:9">
      <c r="C127" s="402"/>
      <c r="D127" s="525"/>
      <c r="E127" s="525"/>
      <c r="F127" s="525"/>
      <c r="I127" s="490"/>
    </row>
    <row r="128" spans="1:9" ht="14.25">
      <c r="A128" s="484"/>
      <c r="B128" s="485" t="s">
        <v>2776</v>
      </c>
      <c r="C128" s="402"/>
      <c r="D128" s="1865" t="s">
        <v>2007</v>
      </c>
      <c r="E128" s="1865"/>
      <c r="F128" s="1865"/>
      <c r="I128" s="490"/>
    </row>
    <row r="129" spans="1:9" ht="14.25">
      <c r="A129" s="484"/>
      <c r="B129" s="484"/>
      <c r="C129" s="402"/>
      <c r="D129" s="1865"/>
      <c r="E129" s="1865"/>
      <c r="F129" s="1865"/>
      <c r="I129" s="490"/>
    </row>
    <row r="130" spans="1:9">
      <c r="I130" s="490"/>
    </row>
    <row r="131" spans="1:9" ht="14.25">
      <c r="A131" s="484"/>
      <c r="B131" s="485" t="s">
        <v>2776</v>
      </c>
      <c r="D131" s="1839" t="s">
        <v>1103</v>
      </c>
      <c r="E131" s="1839"/>
      <c r="F131" s="1839"/>
      <c r="I131" s="490"/>
    </row>
    <row r="132" spans="1:9">
      <c r="D132" s="1839"/>
      <c r="E132" s="1839"/>
      <c r="F132" s="1839"/>
      <c r="I132" s="490"/>
    </row>
    <row r="133" spans="1:9">
      <c r="D133" s="1839"/>
      <c r="E133" s="1839"/>
      <c r="F133" s="1839"/>
      <c r="I133" s="490"/>
    </row>
    <row r="134" spans="1:9">
      <c r="D134" s="1839"/>
      <c r="E134" s="1839"/>
      <c r="F134" s="1839"/>
      <c r="I134" s="490"/>
    </row>
    <row r="135" spans="1:9">
      <c r="D135" s="1839"/>
      <c r="E135" s="1839"/>
      <c r="F135" s="1839"/>
      <c r="I135" s="490"/>
    </row>
    <row r="136" spans="1:9">
      <c r="I136" s="490"/>
    </row>
    <row r="137" spans="1:9" ht="14.25">
      <c r="A137" s="484"/>
      <c r="B137" s="485" t="s">
        <v>2776</v>
      </c>
      <c r="D137" s="1839" t="s">
        <v>1104</v>
      </c>
      <c r="E137" s="1839"/>
      <c r="F137" s="1839"/>
      <c r="I137" s="490"/>
    </row>
    <row r="138" spans="1:9" s="417" customFormat="1" ht="13.7" customHeight="1">
      <c r="A138" s="488"/>
      <c r="B138" s="488"/>
      <c r="C138" s="488"/>
      <c r="D138" s="1839"/>
      <c r="E138" s="1839"/>
      <c r="F138" s="1839"/>
      <c r="I138" s="1149"/>
    </row>
    <row r="139" spans="1:9" ht="13.7" customHeight="1">
      <c r="D139" s="1839"/>
      <c r="E139" s="1839"/>
      <c r="F139" s="1839"/>
      <c r="I139" s="490"/>
    </row>
    <row r="140" spans="1:9" ht="13.7" customHeight="1">
      <c r="D140" s="1839"/>
      <c r="E140" s="1839"/>
      <c r="F140" s="1839"/>
      <c r="I140" s="490"/>
    </row>
    <row r="141" spans="1:9" ht="13.7" customHeight="1">
      <c r="D141" s="1839"/>
      <c r="E141" s="1839"/>
      <c r="F141" s="1839"/>
      <c r="I141" s="490"/>
    </row>
    <row r="142" spans="1:9" ht="13.7" customHeight="1">
      <c r="A142" s="489"/>
      <c r="B142" s="489"/>
      <c r="D142" s="1839"/>
      <c r="E142" s="1839"/>
      <c r="F142" s="1839"/>
      <c r="I142" s="490"/>
    </row>
    <row r="143" spans="1:9" ht="13.7" customHeight="1">
      <c r="D143" s="1839"/>
      <c r="E143" s="1839"/>
      <c r="F143" s="1839"/>
      <c r="I143" s="490"/>
    </row>
    <row r="144" spans="1:9" ht="13.7" customHeight="1">
      <c r="D144" s="1839"/>
      <c r="E144" s="1839"/>
      <c r="F144" s="1839"/>
      <c r="I144" s="490"/>
    </row>
    <row r="145" spans="2:9" ht="13.7" customHeight="1">
      <c r="D145" s="1839"/>
      <c r="E145" s="1839"/>
      <c r="F145" s="1839"/>
      <c r="I145" s="490"/>
    </row>
    <row r="146" spans="2:9" ht="13.7" customHeight="1">
      <c r="D146" s="1839"/>
      <c r="E146" s="1839"/>
      <c r="F146" s="1839"/>
      <c r="I146" s="490"/>
    </row>
    <row r="147" spans="2:9" ht="13.7" customHeight="1">
      <c r="D147" s="1839"/>
      <c r="E147" s="1839"/>
      <c r="F147" s="1839"/>
      <c r="I147" s="490"/>
    </row>
    <row r="148" spans="2:9" ht="13.7" customHeight="1">
      <c r="D148" s="1839"/>
      <c r="E148" s="1839"/>
      <c r="F148" s="1839"/>
      <c r="I148" s="490"/>
    </row>
    <row r="149" spans="2:9" ht="13.7" customHeight="1">
      <c r="D149" s="1839"/>
      <c r="E149" s="1839"/>
      <c r="F149" s="1839"/>
      <c r="I149" s="490"/>
    </row>
    <row r="150" spans="2:9" ht="13.7" customHeight="1">
      <c r="D150" s="476"/>
      <c r="E150" s="446"/>
      <c r="F150" s="446"/>
      <c r="I150" s="490"/>
    </row>
    <row r="151" spans="2:9" ht="13.7" customHeight="1">
      <c r="B151" s="485" t="s">
        <v>2765</v>
      </c>
      <c r="D151" s="1839" t="s">
        <v>1176</v>
      </c>
      <c r="E151" s="1839"/>
      <c r="F151" s="1839"/>
      <c r="I151" s="490"/>
    </row>
    <row r="152" spans="2:9" ht="13.7" customHeight="1">
      <c r="D152" s="1839"/>
      <c r="E152" s="1839"/>
      <c r="F152" s="1839"/>
      <c r="I152" s="490"/>
    </row>
    <row r="153" spans="2:9" ht="13.7" customHeight="1">
      <c r="D153" s="1839"/>
      <c r="E153" s="1839"/>
      <c r="F153" s="1839"/>
      <c r="I153" s="490"/>
    </row>
    <row r="154" spans="2:9" ht="13.7" customHeight="1">
      <c r="D154" s="1839"/>
      <c r="E154" s="1839"/>
      <c r="F154" s="1839"/>
      <c r="I154" s="490"/>
    </row>
    <row r="155" spans="2:9" ht="13.7" customHeight="1">
      <c r="D155" s="1839"/>
      <c r="E155" s="1839"/>
      <c r="F155" s="1839"/>
      <c r="I155" s="490"/>
    </row>
    <row r="156" spans="2:9" ht="13.7" customHeight="1">
      <c r="D156" s="1839"/>
      <c r="E156" s="1839"/>
      <c r="F156" s="1839"/>
      <c r="I156" s="490"/>
    </row>
    <row r="157" spans="2:9" ht="13.7" customHeight="1">
      <c r="D157" s="1839"/>
      <c r="E157" s="1839"/>
      <c r="F157" s="1839"/>
      <c r="I157" s="490"/>
    </row>
    <row r="158" spans="2:9" ht="13.7" customHeight="1">
      <c r="D158" s="1839"/>
      <c r="E158" s="1839"/>
      <c r="F158" s="1839"/>
      <c r="I158" s="490"/>
    </row>
    <row r="159" spans="2:9" ht="13.7" customHeight="1">
      <c r="D159" s="1839"/>
      <c r="E159" s="1839"/>
      <c r="F159" s="1839"/>
      <c r="I159" s="490"/>
    </row>
    <row r="160" spans="2:9" ht="13.7" customHeight="1">
      <c r="D160" s="1839"/>
      <c r="E160" s="1839"/>
      <c r="F160" s="1839"/>
      <c r="I160" s="490"/>
    </row>
    <row r="161" spans="1:9" ht="13.7" customHeight="1">
      <c r="D161" s="1839"/>
      <c r="E161" s="1839"/>
      <c r="F161" s="1839"/>
      <c r="I161" s="490"/>
    </row>
    <row r="162" spans="1:9" ht="13.7" customHeight="1">
      <c r="D162" s="1839"/>
      <c r="E162" s="1839"/>
      <c r="F162" s="1839"/>
      <c r="I162" s="490"/>
    </row>
    <row r="163" spans="1:9" ht="13.7" customHeight="1">
      <c r="D163" s="1839"/>
      <c r="E163" s="1839"/>
      <c r="F163" s="1839"/>
      <c r="I163" s="490"/>
    </row>
    <row r="164" spans="1:9" ht="13.7" customHeight="1">
      <c r="D164" s="1839"/>
      <c r="E164" s="1839"/>
      <c r="F164" s="1839"/>
      <c r="I164" s="490"/>
    </row>
    <row r="165" spans="1:9" ht="13.7" customHeight="1">
      <c r="D165" s="1839"/>
      <c r="E165" s="1839"/>
      <c r="F165" s="1839"/>
      <c r="I165" s="490"/>
    </row>
    <row r="166" spans="1:9" ht="13.7" customHeight="1">
      <c r="D166" s="1839"/>
      <c r="E166" s="1839"/>
      <c r="F166" s="1839"/>
      <c r="I166" s="490"/>
    </row>
    <row r="167" spans="1:9" ht="13.7" customHeight="1">
      <c r="D167" s="1839"/>
      <c r="E167" s="1839"/>
      <c r="F167" s="1839"/>
      <c r="I167" s="490"/>
    </row>
    <row r="168" spans="1:9" ht="13.7" customHeight="1">
      <c r="D168" s="1839"/>
      <c r="E168" s="1839"/>
      <c r="F168" s="1839"/>
      <c r="I168" s="490"/>
    </row>
    <row r="169" spans="1:9" ht="13.7" customHeight="1">
      <c r="D169" s="1862" t="s">
        <v>2029</v>
      </c>
      <c r="E169" s="1862"/>
      <c r="F169" s="1862"/>
      <c r="G169" s="507"/>
      <c r="I169" s="490"/>
    </row>
    <row r="170" spans="1:9" ht="13.7" customHeight="1">
      <c r="D170" s="1849"/>
      <c r="E170" s="1849"/>
      <c r="F170" s="1849"/>
      <c r="G170" s="1849"/>
      <c r="I170" s="490"/>
    </row>
    <row r="171" spans="1:9" ht="14.45" customHeight="1">
      <c r="A171" s="489"/>
      <c r="B171" s="485" t="s">
        <v>2765</v>
      </c>
      <c r="C171" s="476"/>
      <c r="D171" s="1813" t="s">
        <v>2165</v>
      </c>
      <c r="E171" s="1813"/>
      <c r="F171" s="1813"/>
      <c r="G171" s="476"/>
      <c r="I171" s="490"/>
    </row>
    <row r="172" spans="1:9" ht="14.45" customHeight="1">
      <c r="A172" s="489"/>
      <c r="B172" s="489"/>
      <c r="C172" s="476"/>
      <c r="D172" s="1813"/>
      <c r="E172" s="1813"/>
      <c r="F172" s="1813"/>
      <c r="G172" s="476"/>
      <c r="I172" s="490"/>
    </row>
    <row r="173" spans="1:9" ht="14.45" customHeight="1">
      <c r="A173" s="489"/>
      <c r="B173" s="489"/>
      <c r="C173" s="476"/>
      <c r="D173" s="1813"/>
      <c r="E173" s="1813"/>
      <c r="F173" s="1813"/>
      <c r="G173" s="476"/>
      <c r="I173" s="490"/>
    </row>
    <row r="174" spans="1:9" ht="14.45" customHeight="1">
      <c r="A174" s="489"/>
      <c r="B174" s="489"/>
      <c r="C174" s="476"/>
      <c r="D174" s="1813"/>
      <c r="E174" s="1813"/>
      <c r="F174" s="1813"/>
      <c r="G174" s="476"/>
      <c r="I174" s="490"/>
    </row>
    <row r="175" spans="1:9" ht="13.7" customHeight="1">
      <c r="A175" s="489"/>
      <c r="B175" s="489"/>
      <c r="C175" s="476"/>
      <c r="D175" s="1813"/>
      <c r="E175" s="1813"/>
      <c r="F175" s="1813"/>
      <c r="G175" s="476"/>
      <c r="I175" s="490"/>
    </row>
    <row r="176" spans="1:9" ht="13.7" customHeight="1">
      <c r="A176" s="489"/>
      <c r="B176" s="489"/>
      <c r="C176" s="476"/>
      <c r="D176" s="476"/>
      <c r="E176" s="476"/>
      <c r="F176" s="476"/>
      <c r="G176" s="476"/>
      <c r="I176" s="490"/>
    </row>
    <row r="177" spans="1:9" ht="13.7" customHeight="1">
      <c r="A177" s="489"/>
      <c r="B177" s="485" t="s">
        <v>2765</v>
      </c>
      <c r="C177" s="476"/>
      <c r="D177" s="1813" t="s">
        <v>1105</v>
      </c>
      <c r="E177" s="1813"/>
      <c r="F177" s="1813"/>
      <c r="G177" s="476"/>
      <c r="I177" s="490"/>
    </row>
    <row r="178" spans="1:9" ht="13.7" customHeight="1">
      <c r="A178" s="489"/>
      <c r="B178" s="489"/>
      <c r="C178" s="476"/>
      <c r="D178" s="1813"/>
      <c r="E178" s="1813"/>
      <c r="F178" s="1813"/>
      <c r="G178" s="476"/>
      <c r="I178" s="490"/>
    </row>
    <row r="179" spans="1:9" ht="13.7" customHeight="1">
      <c r="A179" s="489"/>
      <c r="B179" s="489"/>
      <c r="C179" s="476"/>
      <c r="D179" s="1813"/>
      <c r="E179" s="1813"/>
      <c r="F179" s="1813"/>
      <c r="G179" s="476"/>
      <c r="I179" s="490"/>
    </row>
    <row r="180" spans="1:9" ht="13.7" customHeight="1">
      <c r="A180" s="489"/>
      <c r="B180" s="489"/>
      <c r="C180" s="476"/>
      <c r="D180" s="1813"/>
      <c r="E180" s="1813"/>
      <c r="F180" s="1813"/>
      <c r="G180" s="476"/>
      <c r="I180" s="490"/>
    </row>
    <row r="181" spans="1:9" ht="13.7" customHeight="1">
      <c r="D181" s="446"/>
      <c r="E181" s="446"/>
      <c r="F181" s="446"/>
      <c r="I181" s="490"/>
    </row>
    <row r="182" spans="1:9" ht="13.7" hidden="1" customHeight="1">
      <c r="B182" s="485" t="s">
        <v>307</v>
      </c>
      <c r="D182" s="1855" t="s">
        <v>2008</v>
      </c>
      <c r="E182" s="1855"/>
      <c r="F182" s="1855"/>
      <c r="I182" s="490"/>
    </row>
    <row r="183" spans="1:9" ht="13.7" hidden="1" customHeight="1">
      <c r="D183" s="1855"/>
      <c r="E183" s="1855"/>
      <c r="F183" s="1855"/>
      <c r="I183" s="490"/>
    </row>
    <row r="184" spans="1:9" ht="13.7" hidden="1" customHeight="1">
      <c r="D184" s="1855"/>
      <c r="E184" s="1855"/>
      <c r="F184" s="1855"/>
      <c r="I184" s="490"/>
    </row>
    <row r="185" spans="1:9" ht="13.7" customHeight="1">
      <c r="A185" s="490"/>
      <c r="B185" s="490"/>
      <c r="E185" s="446"/>
      <c r="F185" s="446"/>
      <c r="I185" s="490"/>
    </row>
    <row r="186" spans="1:9">
      <c r="A186" s="1840" t="s">
        <v>2009</v>
      </c>
      <c r="B186" s="1840"/>
      <c r="C186" s="1840"/>
      <c r="D186" s="1840"/>
      <c r="E186" s="1840"/>
      <c r="F186" s="1840"/>
      <c r="G186" s="1840"/>
      <c r="H186" s="1023"/>
      <c r="I186" s="1147"/>
    </row>
    <row r="187" spans="1:9" ht="12" customHeight="1">
      <c r="D187" s="446"/>
      <c r="E187" s="446"/>
      <c r="F187" s="446"/>
      <c r="I187" s="490"/>
    </row>
    <row r="188" spans="1:9">
      <c r="B188" s="1845" t="s">
        <v>445</v>
      </c>
      <c r="C188" s="1845"/>
      <c r="D188" s="1845"/>
      <c r="E188" s="1845"/>
      <c r="F188" s="1845"/>
      <c r="I188" s="490"/>
    </row>
    <row r="189" spans="1:9">
      <c r="B189" s="392" t="s">
        <v>1847</v>
      </c>
      <c r="C189" s="392"/>
      <c r="D189" s="392"/>
      <c r="E189" s="392"/>
      <c r="F189" s="392"/>
      <c r="I189" s="490"/>
    </row>
    <row r="190" spans="1:9" ht="12" customHeight="1">
      <c r="A190" s="482"/>
      <c r="B190" s="482"/>
      <c r="C190" s="482"/>
      <c r="I190" s="490"/>
    </row>
    <row r="191" spans="1:9">
      <c r="A191" s="1840" t="s">
        <v>1044</v>
      </c>
      <c r="B191" s="1840"/>
      <c r="C191" s="1840"/>
      <c r="D191" s="1840"/>
      <c r="E191" s="1840"/>
      <c r="F191" s="1840"/>
      <c r="G191" s="1840"/>
      <c r="H191" s="1023"/>
      <c r="I191" s="1147"/>
    </row>
    <row r="192" spans="1:9" ht="12" customHeight="1">
      <c r="A192" s="404"/>
      <c r="B192" s="404"/>
      <c r="E192" s="404"/>
      <c r="I192" s="490"/>
    </row>
    <row r="193" spans="1:9" ht="13.7" customHeight="1">
      <c r="A193" s="404"/>
      <c r="B193" s="404"/>
      <c r="D193" s="1859" t="s">
        <v>1733</v>
      </c>
      <c r="E193" s="1859"/>
      <c r="F193" s="1859"/>
      <c r="I193" s="490"/>
    </row>
    <row r="194" spans="1:9">
      <c r="A194" s="404"/>
      <c r="B194" s="404"/>
      <c r="D194" s="1859"/>
      <c r="E194" s="1859"/>
      <c r="F194" s="1859"/>
      <c r="I194" s="490"/>
    </row>
    <row r="195" spans="1:9">
      <c r="A195" s="404"/>
      <c r="B195" s="404"/>
      <c r="D195" s="1845" t="s">
        <v>1194</v>
      </c>
      <c r="E195" s="1845"/>
      <c r="F195" s="1845"/>
      <c r="I195" s="490"/>
    </row>
    <row r="196" spans="1:9">
      <c r="A196" s="404"/>
      <c r="B196" s="404"/>
      <c r="D196" s="392"/>
      <c r="E196" s="392"/>
      <c r="F196" s="392"/>
      <c r="I196" s="490"/>
    </row>
    <row r="197" spans="1:9">
      <c r="A197" s="404"/>
      <c r="B197" s="485" t="s">
        <v>2765</v>
      </c>
      <c r="D197" s="1831" t="s">
        <v>1734</v>
      </c>
      <c r="E197" s="1831"/>
      <c r="F197" s="1831"/>
      <c r="I197" s="490"/>
    </row>
    <row r="198" spans="1:9">
      <c r="A198" s="404"/>
      <c r="B198" s="404"/>
      <c r="D198" s="1822" t="s">
        <v>1873</v>
      </c>
      <c r="E198" s="1822"/>
      <c r="F198" s="1822"/>
      <c r="I198" s="490"/>
    </row>
    <row r="199" spans="1:9">
      <c r="A199" s="404"/>
      <c r="B199" s="404"/>
      <c r="D199" s="96" t="s">
        <v>1735</v>
      </c>
      <c r="E199" s="1867" t="s">
        <v>1896</v>
      </c>
      <c r="F199" s="1867"/>
      <c r="I199" s="490"/>
    </row>
    <row r="200" spans="1:9">
      <c r="A200" s="404"/>
      <c r="B200" s="404"/>
      <c r="D200" s="3"/>
      <c r="E200" s="3"/>
      <c r="F200" s="3"/>
      <c r="I200" s="490"/>
    </row>
    <row r="201" spans="1:9">
      <c r="A201" s="404"/>
      <c r="B201" s="485" t="s">
        <v>2765</v>
      </c>
      <c r="D201" s="1822" t="s">
        <v>1736</v>
      </c>
      <c r="E201" s="1822"/>
      <c r="F201" s="1822"/>
      <c r="I201" s="490"/>
    </row>
    <row r="202" spans="1:9">
      <c r="A202" s="404"/>
      <c r="B202" s="404"/>
      <c r="D202" s="1831" t="s">
        <v>1873</v>
      </c>
      <c r="E202" s="1831"/>
      <c r="F202" s="1831"/>
      <c r="I202" s="490"/>
    </row>
    <row r="203" spans="1:9">
      <c r="A203" s="404"/>
      <c r="B203" s="404"/>
      <c r="D203" s="57" t="s">
        <v>1737</v>
      </c>
      <c r="E203" s="1867" t="s">
        <v>1897</v>
      </c>
      <c r="F203" s="1867"/>
      <c r="I203" s="490"/>
    </row>
    <row r="204" spans="1:9">
      <c r="A204" s="404"/>
      <c r="B204" s="404"/>
      <c r="D204" s="3"/>
      <c r="E204" s="3"/>
      <c r="F204" s="3"/>
      <c r="I204" s="490"/>
    </row>
    <row r="205" spans="1:9">
      <c r="A205" s="404"/>
      <c r="B205" s="485" t="s">
        <v>2765</v>
      </c>
      <c r="D205" s="1822" t="s">
        <v>1738</v>
      </c>
      <c r="E205" s="1822"/>
      <c r="F205" s="1822"/>
      <c r="I205" s="490"/>
    </row>
    <row r="206" spans="1:9">
      <c r="A206" s="404"/>
      <c r="B206" s="404"/>
      <c r="D206" s="1831" t="s">
        <v>1873</v>
      </c>
      <c r="E206" s="1831"/>
      <c r="F206" s="1831"/>
      <c r="I206" s="490"/>
    </row>
    <row r="207" spans="1:9">
      <c r="A207" s="404"/>
      <c r="B207" s="404"/>
      <c r="D207" s="57" t="s">
        <v>1735</v>
      </c>
      <c r="E207" s="1867" t="s">
        <v>1898</v>
      </c>
      <c r="F207" s="1867"/>
      <c r="I207" s="490"/>
    </row>
    <row r="208" spans="1:9">
      <c r="A208" s="404"/>
      <c r="B208" s="404"/>
      <c r="D208" s="392"/>
      <c r="E208" s="392"/>
      <c r="F208" s="392"/>
      <c r="I208" s="490"/>
    </row>
    <row r="209" spans="1:9" ht="14.25" customHeight="1">
      <c r="A209" s="484"/>
      <c r="B209" s="485" t="s">
        <v>2765</v>
      </c>
      <c r="D209" s="386" t="s">
        <v>1866</v>
      </c>
      <c r="E209" s="385"/>
      <c r="F209" s="385"/>
      <c r="I209" s="490"/>
    </row>
    <row r="210" spans="1:9" ht="14.25">
      <c r="A210" s="484"/>
      <c r="B210" s="484"/>
      <c r="D210" s="1831" t="s">
        <v>1873</v>
      </c>
      <c r="E210" s="1831"/>
      <c r="F210" s="1831"/>
      <c r="I210" s="490"/>
    </row>
    <row r="211" spans="1:9">
      <c r="D211" s="385"/>
      <c r="E211" s="1867" t="s">
        <v>1899</v>
      </c>
      <c r="F211" s="1867"/>
      <c r="I211" s="490"/>
    </row>
    <row r="212" spans="1:9">
      <c r="D212" s="447"/>
      <c r="I212" s="490"/>
    </row>
    <row r="213" spans="1:9">
      <c r="B213" s="485" t="s">
        <v>2765</v>
      </c>
      <c r="D213" s="1822" t="s">
        <v>1739</v>
      </c>
      <c r="E213" s="1822"/>
      <c r="F213" s="1822"/>
      <c r="I213" s="490"/>
    </row>
    <row r="214" spans="1:9">
      <c r="D214" s="1831" t="s">
        <v>1873</v>
      </c>
      <c r="E214" s="1831"/>
      <c r="F214" s="1831"/>
      <c r="I214" s="490"/>
    </row>
    <row r="215" spans="1:9">
      <c r="D215" s="57" t="s">
        <v>1735</v>
      </c>
      <c r="E215" s="1867" t="s">
        <v>1900</v>
      </c>
      <c r="F215" s="1867"/>
      <c r="I215" s="490"/>
    </row>
    <row r="216" spans="1:9">
      <c r="D216" s="451"/>
      <c r="E216" s="451"/>
      <c r="F216" s="451"/>
      <c r="I216" s="490"/>
    </row>
    <row r="217" spans="1:9" ht="14.25">
      <c r="A217" s="484"/>
      <c r="B217" s="485" t="s">
        <v>2765</v>
      </c>
      <c r="D217" s="1839" t="s">
        <v>1215</v>
      </c>
      <c r="E217" s="1839"/>
      <c r="F217" s="1839"/>
      <c r="I217" s="490"/>
    </row>
    <row r="218" spans="1:9" ht="14.45" customHeight="1">
      <c r="A218" s="484"/>
      <c r="B218" s="402"/>
      <c r="D218" s="1839"/>
      <c r="E218" s="1839"/>
      <c r="F218" s="1839"/>
      <c r="I218" s="490"/>
    </row>
    <row r="219" spans="1:9" ht="14.25">
      <c r="A219" s="484"/>
      <c r="D219" s="1839"/>
      <c r="E219" s="1839"/>
      <c r="F219" s="1839"/>
      <c r="I219" s="490"/>
    </row>
    <row r="220" spans="1:9" ht="14.25">
      <c r="A220" s="484"/>
      <c r="D220" s="1839"/>
      <c r="E220" s="1839"/>
      <c r="F220" s="1839"/>
      <c r="I220" s="490"/>
    </row>
    <row r="221" spans="1:9">
      <c r="D221" s="451"/>
      <c r="E221" s="451"/>
      <c r="F221" s="451"/>
      <c r="I221" s="490"/>
    </row>
    <row r="222" spans="1:9">
      <c r="A222" s="1840" t="s">
        <v>1045</v>
      </c>
      <c r="B222" s="1840"/>
      <c r="C222" s="1840"/>
      <c r="D222" s="1840"/>
      <c r="E222" s="1840"/>
      <c r="F222" s="1840"/>
      <c r="G222" s="1840"/>
      <c r="H222" s="1023"/>
      <c r="I222" s="1147"/>
    </row>
    <row r="223" spans="1:9" ht="12" customHeight="1">
      <c r="D223" s="446"/>
      <c r="E223" s="446"/>
      <c r="F223" s="446"/>
      <c r="I223" s="490"/>
    </row>
    <row r="224" spans="1:9">
      <c r="C224" s="486"/>
      <c r="D224" s="1842" t="s">
        <v>208</v>
      </c>
      <c r="E224" s="1842"/>
      <c r="F224" s="1842"/>
      <c r="I224" s="490"/>
    </row>
    <row r="225" spans="1:9">
      <c r="A225" s="482"/>
      <c r="B225" s="482"/>
      <c r="C225" s="482"/>
      <c r="D225" s="1841" t="s">
        <v>1119</v>
      </c>
      <c r="E225" s="1841"/>
      <c r="F225" s="1841"/>
      <c r="I225" s="490"/>
    </row>
    <row r="226" spans="1:9" ht="12" customHeight="1">
      <c r="A226" s="490"/>
      <c r="B226" s="490"/>
      <c r="C226" s="490"/>
      <c r="I226" s="490"/>
    </row>
    <row r="227" spans="1:9" ht="13.7" customHeight="1">
      <c r="A227" s="490"/>
      <c r="C227" s="490"/>
      <c r="D227" s="1842" t="s">
        <v>545</v>
      </c>
      <c r="E227" s="1842"/>
      <c r="F227" s="1842"/>
      <c r="I227" s="490"/>
    </row>
    <row r="228" spans="1:9" ht="14.25">
      <c r="A228" s="484"/>
      <c r="B228" s="485" t="s">
        <v>2776</v>
      </c>
      <c r="D228" s="1839" t="s">
        <v>1740</v>
      </c>
      <c r="E228" s="1839"/>
      <c r="F228" s="1839"/>
      <c r="I228" s="490"/>
    </row>
    <row r="229" spans="1:9" ht="14.25" customHeight="1">
      <c r="A229" s="484"/>
      <c r="B229" s="484"/>
      <c r="D229" s="1839"/>
      <c r="E229" s="1839"/>
      <c r="F229" s="1839"/>
      <c r="I229" s="490"/>
    </row>
    <row r="230" spans="1:9" ht="14.25" customHeight="1">
      <c r="A230" s="484"/>
      <c r="B230" s="484"/>
      <c r="D230" s="1839"/>
      <c r="E230" s="1839"/>
      <c r="F230" s="1839"/>
      <c r="I230" s="490"/>
    </row>
    <row r="231" spans="1:9" ht="14.25">
      <c r="A231" s="484"/>
      <c r="B231" s="484"/>
      <c r="D231" s="1839"/>
      <c r="E231" s="1839"/>
      <c r="F231" s="1839"/>
      <c r="I231" s="490"/>
    </row>
    <row r="232" spans="1:9" ht="14.25">
      <c r="A232" s="484"/>
      <c r="B232" s="484"/>
      <c r="D232" s="445"/>
      <c r="E232" s="445"/>
      <c r="F232" s="445"/>
      <c r="I232" s="490"/>
    </row>
    <row r="233" spans="1:9" ht="14.25">
      <c r="A233" s="484"/>
      <c r="B233" s="485" t="s">
        <v>2776</v>
      </c>
      <c r="D233" s="1839" t="s">
        <v>1741</v>
      </c>
      <c r="E233" s="1839"/>
      <c r="F233" s="1839"/>
      <c r="I233" s="490"/>
    </row>
    <row r="234" spans="1:9" ht="14.25">
      <c r="A234" s="484"/>
      <c r="B234" s="484"/>
      <c r="D234" s="1839"/>
      <c r="E234" s="1839"/>
      <c r="F234" s="1839"/>
      <c r="I234" s="490"/>
    </row>
    <row r="235" spans="1:9" ht="14.25">
      <c r="A235" s="484"/>
      <c r="B235" s="484"/>
      <c r="D235" s="1839"/>
      <c r="E235" s="1839"/>
      <c r="F235" s="1839"/>
      <c r="I235" s="490"/>
    </row>
    <row r="236" spans="1:9" ht="14.25">
      <c r="A236" s="484"/>
      <c r="B236" s="484"/>
      <c r="D236" s="1839"/>
      <c r="E236" s="1839"/>
      <c r="F236" s="1839"/>
      <c r="I236" s="490"/>
    </row>
    <row r="237" spans="1:9" ht="14.25" customHeight="1">
      <c r="A237" s="484"/>
      <c r="B237" s="484"/>
      <c r="D237" s="1839"/>
      <c r="E237" s="1839"/>
      <c r="F237" s="1839"/>
      <c r="I237" s="490"/>
    </row>
    <row r="238" spans="1:9" ht="14.25" customHeight="1">
      <c r="A238" s="484"/>
      <c r="B238" s="484"/>
      <c r="D238" s="445"/>
      <c r="E238" s="445"/>
      <c r="F238" s="445"/>
      <c r="I238" s="490"/>
    </row>
    <row r="239" spans="1:9" ht="14.25">
      <c r="A239" s="484"/>
      <c r="B239" s="484"/>
      <c r="D239" s="1839" t="s">
        <v>1117</v>
      </c>
      <c r="E239" s="1839"/>
      <c r="F239" s="1839"/>
      <c r="I239" s="490"/>
    </row>
    <row r="240" spans="1:9" ht="14.25">
      <c r="A240" s="484"/>
      <c r="B240" s="484"/>
      <c r="D240" s="1839"/>
      <c r="E240" s="1839"/>
      <c r="F240" s="1839"/>
      <c r="I240" s="490"/>
    </row>
    <row r="241" spans="1:9" ht="14.25">
      <c r="A241" s="484"/>
      <c r="B241" s="484"/>
      <c r="D241" s="1839"/>
      <c r="E241" s="1839"/>
      <c r="F241" s="1839"/>
      <c r="I241" s="490"/>
    </row>
    <row r="242" spans="1:9" ht="14.25">
      <c r="A242" s="484"/>
      <c r="B242" s="484"/>
      <c r="D242" s="1839"/>
      <c r="E242" s="1839"/>
      <c r="F242" s="1839"/>
      <c r="I242" s="490"/>
    </row>
    <row r="243" spans="1:9" ht="14.25">
      <c r="A243" s="484"/>
      <c r="B243" s="484"/>
      <c r="D243" s="1839"/>
      <c r="E243" s="1839"/>
      <c r="F243" s="1839"/>
      <c r="I243" s="490"/>
    </row>
    <row r="244" spans="1:9" ht="14.25">
      <c r="A244" s="484"/>
      <c r="B244" s="484"/>
      <c r="D244" s="446"/>
      <c r="E244" s="446"/>
      <c r="F244" s="446"/>
      <c r="I244" s="490"/>
    </row>
    <row r="245" spans="1:9" ht="14.25">
      <c r="A245" s="484"/>
      <c r="B245" s="485" t="s">
        <v>2765</v>
      </c>
      <c r="D245" s="1839" t="s">
        <v>2010</v>
      </c>
      <c r="E245" s="1839"/>
      <c r="F245" s="1839"/>
      <c r="I245" s="490"/>
    </row>
    <row r="246" spans="1:9" ht="14.25">
      <c r="A246" s="484"/>
      <c r="B246" s="484"/>
      <c r="D246" s="1839"/>
      <c r="E246" s="1839"/>
      <c r="F246" s="1839"/>
      <c r="I246" s="490"/>
    </row>
    <row r="247" spans="1:9" ht="14.25">
      <c r="A247" s="484"/>
      <c r="B247" s="484"/>
      <c r="D247" s="1839"/>
      <c r="E247" s="1839"/>
      <c r="F247" s="1839"/>
      <c r="I247" s="490"/>
    </row>
    <row r="248" spans="1:9" ht="14.25">
      <c r="A248" s="484"/>
      <c r="B248" s="484"/>
      <c r="E248" s="1031" t="s">
        <v>1867</v>
      </c>
      <c r="I248" s="490"/>
    </row>
    <row r="249" spans="1:9" ht="14.25">
      <c r="A249" s="484"/>
      <c r="B249" s="484"/>
      <c r="D249" s="446"/>
      <c r="E249" s="446"/>
      <c r="F249" s="446"/>
      <c r="I249" s="490"/>
    </row>
    <row r="250" spans="1:9" ht="14.45" customHeight="1">
      <c r="A250" s="484"/>
      <c r="B250" s="485" t="s">
        <v>2765</v>
      </c>
      <c r="D250" s="1839" t="s">
        <v>2011</v>
      </c>
      <c r="E250" s="1839"/>
      <c r="F250" s="1839"/>
      <c r="I250" s="490"/>
    </row>
    <row r="251" spans="1:9" ht="14.25">
      <c r="A251" s="484"/>
      <c r="B251" s="484"/>
      <c r="D251" s="1839"/>
      <c r="E251" s="1839"/>
      <c r="F251" s="1839"/>
      <c r="I251" s="490"/>
    </row>
    <row r="252" spans="1:9" ht="14.25">
      <c r="A252" s="484"/>
      <c r="B252" s="484"/>
      <c r="D252" s="1839"/>
      <c r="E252" s="1839"/>
      <c r="F252" s="1839"/>
      <c r="I252" s="490"/>
    </row>
    <row r="253" spans="1:9" ht="14.25">
      <c r="A253" s="484"/>
      <c r="B253" s="484"/>
      <c r="D253" s="1839"/>
      <c r="E253" s="1839"/>
      <c r="F253" s="1839"/>
      <c r="I253" s="490"/>
    </row>
    <row r="254" spans="1:9" ht="14.25">
      <c r="A254" s="484"/>
      <c r="B254" s="484"/>
      <c r="D254" s="1839"/>
      <c r="E254" s="1839"/>
      <c r="F254" s="1839"/>
      <c r="I254" s="490"/>
    </row>
    <row r="255" spans="1:9" ht="14.25">
      <c r="A255" s="484"/>
      <c r="B255" s="484"/>
      <c r="D255" s="445"/>
      <c r="E255" s="445"/>
      <c r="F255" s="445"/>
      <c r="I255" s="490"/>
    </row>
    <row r="256" spans="1:9" ht="14.25">
      <c r="A256" s="484"/>
      <c r="B256" s="485" t="s">
        <v>2776</v>
      </c>
      <c r="D256" s="392" t="s">
        <v>2012</v>
      </c>
      <c r="E256" s="445"/>
      <c r="F256" s="445"/>
      <c r="I256" s="490"/>
    </row>
    <row r="257" spans="1:9" ht="14.25">
      <c r="A257" s="484"/>
      <c r="B257" s="484"/>
      <c r="E257" s="1031" t="s">
        <v>1868</v>
      </c>
      <c r="I257" s="490"/>
    </row>
    <row r="258" spans="1:9">
      <c r="D258" s="446"/>
      <c r="E258" s="446"/>
      <c r="F258" s="446"/>
      <c r="I258" s="490"/>
    </row>
    <row r="259" spans="1:9" ht="14.25">
      <c r="A259" s="484"/>
      <c r="B259" s="485" t="s">
        <v>2776</v>
      </c>
      <c r="D259" s="1839" t="s">
        <v>1118</v>
      </c>
      <c r="E259" s="1839"/>
      <c r="F259" s="1839"/>
      <c r="I259" s="490"/>
    </row>
    <row r="260" spans="1:9" ht="14.25">
      <c r="A260" s="484"/>
      <c r="B260" s="484"/>
      <c r="D260" s="1839"/>
      <c r="E260" s="1839"/>
      <c r="F260" s="1839"/>
      <c r="I260" s="490"/>
    </row>
    <row r="261" spans="1:9">
      <c r="D261" s="491"/>
      <c r="I261" s="490"/>
    </row>
    <row r="262" spans="1:9">
      <c r="A262" s="1840" t="s">
        <v>1046</v>
      </c>
      <c r="B262" s="1840"/>
      <c r="C262" s="1840"/>
      <c r="D262" s="1840"/>
      <c r="E262" s="1840"/>
      <c r="F262" s="1840"/>
      <c r="G262" s="1840"/>
      <c r="H262" s="1023"/>
      <c r="I262" s="1147"/>
    </row>
    <row r="263" spans="1:9">
      <c r="D263" s="491"/>
      <c r="I263" s="490"/>
    </row>
    <row r="264" spans="1:9">
      <c r="C264" s="486"/>
      <c r="D264" s="1842" t="s">
        <v>1120</v>
      </c>
      <c r="E264" s="1842"/>
      <c r="F264" s="1842"/>
      <c r="I264" s="490"/>
    </row>
    <row r="265" spans="1:9">
      <c r="A265" s="482"/>
      <c r="B265" s="482"/>
      <c r="C265" s="482"/>
      <c r="D265" s="446"/>
      <c r="E265" s="446"/>
      <c r="F265" s="446"/>
      <c r="I265" s="490"/>
    </row>
    <row r="266" spans="1:9">
      <c r="A266" s="483"/>
      <c r="B266" s="483"/>
      <c r="C266" s="483"/>
      <c r="D266" s="1842" t="s">
        <v>269</v>
      </c>
      <c r="E266" s="1842"/>
      <c r="F266" s="1842"/>
      <c r="I266" s="490"/>
    </row>
    <row r="267" spans="1:9" ht="14.45" customHeight="1">
      <c r="A267" s="484"/>
      <c r="B267" s="485" t="s">
        <v>2776</v>
      </c>
      <c r="D267" s="1839" t="s">
        <v>1195</v>
      </c>
      <c r="E267" s="1839"/>
      <c r="F267" s="1839"/>
      <c r="I267" s="490"/>
    </row>
    <row r="268" spans="1:9">
      <c r="D268" s="1839"/>
      <c r="E268" s="1839"/>
      <c r="F268" s="1839"/>
      <c r="I268" s="490"/>
    </row>
    <row r="269" spans="1:9">
      <c r="E269" s="1031" t="s">
        <v>1869</v>
      </c>
      <c r="I269" s="490"/>
    </row>
    <row r="270" spans="1:9">
      <c r="D270" s="446"/>
      <c r="E270" s="446"/>
      <c r="F270" s="446"/>
      <c r="I270" s="490"/>
    </row>
    <row r="271" spans="1:9" ht="14.45" customHeight="1">
      <c r="A271" s="484"/>
      <c r="B271" s="485" t="s">
        <v>2765</v>
      </c>
      <c r="D271" s="1839" t="s">
        <v>2013</v>
      </c>
      <c r="E271" s="1839"/>
      <c r="F271" s="1839"/>
      <c r="I271" s="490"/>
    </row>
    <row r="272" spans="1:9">
      <c r="D272" s="1839"/>
      <c r="E272" s="1839"/>
      <c r="F272" s="1839"/>
      <c r="I272" s="490"/>
    </row>
    <row r="273" spans="1:9">
      <c r="D273" s="1839"/>
      <c r="E273" s="1839"/>
      <c r="F273" s="1839"/>
      <c r="I273" s="490"/>
    </row>
    <row r="274" spans="1:9">
      <c r="D274" s="1839"/>
      <c r="E274" s="1839"/>
      <c r="F274" s="1839"/>
      <c r="I274" s="490"/>
    </row>
    <row r="275" spans="1:9">
      <c r="D275" s="1839"/>
      <c r="E275" s="1839"/>
      <c r="F275" s="1839"/>
      <c r="I275" s="490"/>
    </row>
    <row r="276" spans="1:9">
      <c r="D276" s="1839"/>
      <c r="E276" s="1839"/>
      <c r="F276" s="1839"/>
      <c r="I276" s="490"/>
    </row>
    <row r="277" spans="1:9">
      <c r="D277" s="446"/>
      <c r="E277" s="446"/>
      <c r="F277" s="446"/>
      <c r="I277" s="490"/>
    </row>
    <row r="278" spans="1:9" ht="14.25">
      <c r="A278" s="484"/>
      <c r="B278" s="485" t="s">
        <v>2765</v>
      </c>
      <c r="D278" s="1839" t="s">
        <v>1121</v>
      </c>
      <c r="E278" s="1839"/>
      <c r="F278" s="1839"/>
      <c r="I278" s="490"/>
    </row>
    <row r="279" spans="1:9">
      <c r="D279" s="1839"/>
      <c r="E279" s="1839"/>
      <c r="F279" s="1839"/>
      <c r="I279" s="490"/>
    </row>
    <row r="280" spans="1:9">
      <c r="D280" s="1839"/>
      <c r="E280" s="1839"/>
      <c r="F280" s="1839"/>
      <c r="I280" s="490"/>
    </row>
    <row r="281" spans="1:9">
      <c r="D281" s="492"/>
      <c r="E281" s="446"/>
      <c r="F281" s="446"/>
      <c r="I281" s="490"/>
    </row>
    <row r="282" spans="1:9">
      <c r="A282" s="1840" t="s">
        <v>1047</v>
      </c>
      <c r="B282" s="1840"/>
      <c r="C282" s="1840"/>
      <c r="D282" s="1840"/>
      <c r="E282" s="1840"/>
      <c r="F282" s="1840"/>
      <c r="G282" s="1840"/>
      <c r="H282" s="1023"/>
      <c r="I282" s="1147"/>
    </row>
    <row r="283" spans="1:9">
      <c r="D283" s="492"/>
      <c r="E283" s="446"/>
      <c r="F283" s="446"/>
      <c r="I283" s="490"/>
    </row>
    <row r="284" spans="1:9">
      <c r="C284" s="482"/>
      <c r="D284" s="1859" t="s">
        <v>1122</v>
      </c>
      <c r="E284" s="1859"/>
      <c r="F284" s="1859"/>
      <c r="I284" s="490"/>
    </row>
    <row r="285" spans="1:9">
      <c r="C285" s="482"/>
      <c r="D285" s="1859"/>
      <c r="E285" s="1859"/>
      <c r="F285" s="1859"/>
      <c r="I285" s="490"/>
    </row>
    <row r="286" spans="1:9">
      <c r="A286" s="483"/>
      <c r="B286" s="483"/>
      <c r="C286" s="483"/>
      <c r="D286" s="404"/>
      <c r="I286" s="490"/>
    </row>
    <row r="287" spans="1:9">
      <c r="C287" s="483"/>
      <c r="D287" s="1842" t="s">
        <v>209</v>
      </c>
      <c r="E287" s="1842"/>
      <c r="F287" s="1842"/>
      <c r="I287" s="490"/>
    </row>
    <row r="288" spans="1:9" ht="15.75" customHeight="1">
      <c r="A288" s="484"/>
      <c r="B288" s="484"/>
      <c r="D288" s="1868" t="s">
        <v>1123</v>
      </c>
      <c r="E288" s="1868"/>
      <c r="F288" s="1868"/>
      <c r="I288" s="490"/>
    </row>
    <row r="289" spans="1:9">
      <c r="E289" s="446"/>
      <c r="F289" s="446"/>
      <c r="I289" s="490"/>
    </row>
    <row r="290" spans="1:9" ht="14.25">
      <c r="A290" s="484"/>
      <c r="B290" s="485" t="s">
        <v>2765</v>
      </c>
      <c r="D290" s="1839" t="s">
        <v>1124</v>
      </c>
      <c r="E290" s="1839"/>
      <c r="F290" s="1839"/>
      <c r="I290" s="490"/>
    </row>
    <row r="291" spans="1:9" ht="14.25">
      <c r="A291" s="484"/>
      <c r="B291" s="484"/>
      <c r="D291" s="1839"/>
      <c r="E291" s="1839"/>
      <c r="F291" s="1839"/>
      <c r="I291" s="490"/>
    </row>
    <row r="292" spans="1:9">
      <c r="D292" s="446"/>
      <c r="E292" s="446"/>
      <c r="F292" s="446"/>
      <c r="I292" s="490"/>
    </row>
    <row r="293" spans="1:9" ht="14.25">
      <c r="A293" s="484"/>
      <c r="B293" s="485" t="s">
        <v>2765</v>
      </c>
      <c r="D293" s="1839" t="s">
        <v>1125</v>
      </c>
      <c r="E293" s="1839"/>
      <c r="F293" s="1839"/>
      <c r="I293" s="490"/>
    </row>
    <row r="294" spans="1:9" ht="14.25">
      <c r="A294" s="484"/>
      <c r="B294" s="484"/>
      <c r="D294" s="1839"/>
      <c r="E294" s="1839"/>
      <c r="F294" s="1839"/>
      <c r="I294" s="490"/>
    </row>
    <row r="295" spans="1:9" ht="14.25">
      <c r="A295" s="484"/>
      <c r="B295" s="484"/>
      <c r="D295" s="1839"/>
      <c r="E295" s="1839"/>
      <c r="F295" s="1839"/>
      <c r="I295" s="490"/>
    </row>
    <row r="296" spans="1:9">
      <c r="D296" s="446"/>
      <c r="E296" s="446"/>
      <c r="F296" s="446"/>
      <c r="I296" s="490"/>
    </row>
    <row r="297" spans="1:9" ht="14.25">
      <c r="A297" s="484"/>
      <c r="B297" s="485" t="s">
        <v>2765</v>
      </c>
      <c r="D297" s="1839" t="s">
        <v>1126</v>
      </c>
      <c r="E297" s="1839"/>
      <c r="F297" s="1839"/>
      <c r="I297" s="490"/>
    </row>
    <row r="298" spans="1:9" ht="14.25">
      <c r="A298" s="484"/>
      <c r="B298" s="484"/>
      <c r="D298" s="1839"/>
      <c r="E298" s="1839"/>
      <c r="F298" s="1839"/>
      <c r="I298" s="490"/>
    </row>
    <row r="299" spans="1:9">
      <c r="A299" s="490"/>
      <c r="B299" s="490"/>
      <c r="E299" s="446"/>
      <c r="F299" s="446"/>
      <c r="I299" s="490"/>
    </row>
    <row r="300" spans="1:9">
      <c r="A300" s="1840" t="s">
        <v>1048</v>
      </c>
      <c r="B300" s="1840"/>
      <c r="C300" s="1840"/>
      <c r="D300" s="1840"/>
      <c r="E300" s="1840"/>
      <c r="F300" s="1840"/>
      <c r="G300" s="1840"/>
      <c r="H300" s="1023"/>
      <c r="I300" s="1147"/>
    </row>
    <row r="301" spans="1:9">
      <c r="A301" s="490"/>
      <c r="B301" s="490"/>
      <c r="D301" s="446"/>
      <c r="E301" s="446"/>
      <c r="F301" s="446"/>
      <c r="I301" s="490"/>
    </row>
    <row r="302" spans="1:9">
      <c r="C302" s="490"/>
      <c r="D302" s="1842" t="s">
        <v>681</v>
      </c>
      <c r="E302" s="1842"/>
      <c r="F302" s="1842"/>
      <c r="I302" s="490"/>
    </row>
    <row r="303" spans="1:9">
      <c r="C303" s="490"/>
      <c r="D303" s="1841" t="s">
        <v>1127</v>
      </c>
      <c r="E303" s="1841"/>
      <c r="F303" s="1841"/>
      <c r="I303" s="490"/>
    </row>
    <row r="304" spans="1:9">
      <c r="C304" s="490"/>
      <c r="D304" s="493"/>
      <c r="I304" s="490"/>
    </row>
    <row r="305" spans="1:9">
      <c r="B305" s="485" t="s">
        <v>2765</v>
      </c>
      <c r="D305" s="1841" t="s">
        <v>1128</v>
      </c>
      <c r="E305" s="1841"/>
      <c r="F305" s="1841"/>
      <c r="I305" s="490"/>
    </row>
    <row r="306" spans="1:9" ht="14.25">
      <c r="A306" s="484"/>
      <c r="B306" s="484"/>
      <c r="D306" s="494"/>
      <c r="E306" s="495"/>
      <c r="F306" s="495"/>
      <c r="I306" s="490"/>
    </row>
    <row r="307" spans="1:9" ht="13.7" customHeight="1">
      <c r="B307" s="485" t="s">
        <v>2765</v>
      </c>
      <c r="D307" s="1852" t="s">
        <v>1218</v>
      </c>
      <c r="E307" s="1852"/>
      <c r="F307" s="1852"/>
      <c r="I307" s="490"/>
    </row>
    <row r="308" spans="1:9" ht="14.25">
      <c r="A308" s="484"/>
      <c r="B308" s="484"/>
      <c r="D308" s="1852"/>
      <c r="E308" s="1852"/>
      <c r="F308" s="1852"/>
      <c r="I308" s="490"/>
    </row>
    <row r="309" spans="1:9" ht="14.25">
      <c r="A309" s="484"/>
      <c r="B309" s="484"/>
      <c r="D309" s="1852"/>
      <c r="E309" s="1852"/>
      <c r="F309" s="1852"/>
      <c r="I309" s="490"/>
    </row>
    <row r="310" spans="1:9" ht="14.25">
      <c r="A310" s="484"/>
      <c r="B310" s="484"/>
      <c r="D310" s="1852"/>
      <c r="E310" s="1852"/>
      <c r="F310" s="1852"/>
      <c r="I310" s="490"/>
    </row>
    <row r="311" spans="1:9" ht="14.25">
      <c r="A311" s="484"/>
      <c r="B311" s="484"/>
      <c r="D311" s="1852"/>
      <c r="E311" s="1852"/>
      <c r="F311" s="1852"/>
      <c r="I311" s="490"/>
    </row>
    <row r="312" spans="1:9" ht="14.25">
      <c r="A312" s="484"/>
      <c r="B312" s="484"/>
      <c r="D312" s="494"/>
      <c r="E312" s="495"/>
      <c r="F312" s="495"/>
      <c r="I312" s="490"/>
    </row>
    <row r="313" spans="1:9" ht="13.7" customHeight="1">
      <c r="B313" s="485" t="s">
        <v>2765</v>
      </c>
      <c r="D313" s="1852" t="s">
        <v>1129</v>
      </c>
      <c r="E313" s="1852"/>
      <c r="F313" s="1852"/>
      <c r="I313" s="490"/>
    </row>
    <row r="314" spans="1:9">
      <c r="D314" s="1852"/>
      <c r="E314" s="1852"/>
      <c r="F314" s="1852"/>
      <c r="I314" s="490"/>
    </row>
    <row r="315" spans="1:9" ht="14.25">
      <c r="A315" s="484"/>
      <c r="B315" s="484"/>
      <c r="D315" s="494"/>
      <c r="E315" s="495"/>
      <c r="F315" s="495"/>
      <c r="I315" s="490"/>
    </row>
    <row r="316" spans="1:9">
      <c r="B316" s="485" t="s">
        <v>2765</v>
      </c>
      <c r="D316" s="1841" t="s">
        <v>1130</v>
      </c>
      <c r="E316" s="1841"/>
      <c r="F316" s="1841"/>
      <c r="I316" s="490"/>
    </row>
    <row r="317" spans="1:9">
      <c r="E317" s="446"/>
      <c r="F317" s="446"/>
      <c r="I317" s="490"/>
    </row>
    <row r="318" spans="1:9" ht="14.25">
      <c r="A318" s="484"/>
      <c r="B318" s="485" t="s">
        <v>2765</v>
      </c>
      <c r="D318" s="1839" t="s">
        <v>2196</v>
      </c>
      <c r="E318" s="1839"/>
      <c r="F318" s="1839"/>
      <c r="I318" s="490"/>
    </row>
    <row r="319" spans="1:9" ht="14.25">
      <c r="A319" s="484"/>
      <c r="B319" s="484"/>
      <c r="D319" s="1839"/>
      <c r="E319" s="1839"/>
      <c r="F319" s="1839"/>
      <c r="I319" s="490"/>
    </row>
    <row r="320" spans="1:9" ht="14.25">
      <c r="A320" s="484"/>
      <c r="B320" s="484"/>
      <c r="D320" s="1839"/>
      <c r="E320" s="1839"/>
      <c r="F320" s="1839"/>
      <c r="I320" s="490"/>
    </row>
    <row r="321" spans="1:9" ht="14.25">
      <c r="A321" s="484"/>
      <c r="B321" s="484"/>
      <c r="D321" s="1839"/>
      <c r="E321" s="1839"/>
      <c r="F321" s="1839"/>
      <c r="I321" s="490"/>
    </row>
    <row r="322" spans="1:9" ht="14.25">
      <c r="A322" s="484"/>
      <c r="B322" s="484"/>
      <c r="D322" s="1839"/>
      <c r="E322" s="1839"/>
      <c r="F322" s="1839"/>
      <c r="I322" s="490"/>
    </row>
    <row r="323" spans="1:9" ht="14.25">
      <c r="A323" s="484"/>
      <c r="B323" s="484"/>
      <c r="D323" s="1839"/>
      <c r="E323" s="1839"/>
      <c r="F323" s="1839"/>
      <c r="I323" s="490"/>
    </row>
    <row r="324" spans="1:9" ht="14.25">
      <c r="A324" s="484"/>
      <c r="B324" s="484"/>
      <c r="D324" s="1839"/>
      <c r="E324" s="1839"/>
      <c r="F324" s="1839"/>
      <c r="I324" s="490"/>
    </row>
    <row r="325" spans="1:9" ht="14.25">
      <c r="A325" s="484"/>
      <c r="B325" s="484"/>
      <c r="D325" s="1839"/>
      <c r="E325" s="1839"/>
      <c r="F325" s="1839"/>
      <c r="I325" s="490"/>
    </row>
    <row r="326" spans="1:9" ht="14.25">
      <c r="A326" s="484"/>
      <c r="B326" s="484"/>
      <c r="D326" s="1839"/>
      <c r="E326" s="1839"/>
      <c r="F326" s="1839"/>
      <c r="I326" s="490"/>
    </row>
    <row r="327" spans="1:9" ht="14.25">
      <c r="A327" s="484"/>
      <c r="B327" s="484"/>
      <c r="D327" s="1839"/>
      <c r="E327" s="1839"/>
      <c r="F327" s="1839"/>
      <c r="I327" s="490"/>
    </row>
    <row r="328" spans="1:9" ht="14.25">
      <c r="A328" s="484"/>
      <c r="B328" s="484"/>
      <c r="D328" s="1839"/>
      <c r="E328" s="1839"/>
      <c r="F328" s="1839"/>
      <c r="I328" s="490"/>
    </row>
    <row r="329" spans="1:9" ht="14.25">
      <c r="A329" s="484"/>
      <c r="B329" s="484"/>
      <c r="D329" s="1839"/>
      <c r="E329" s="1839"/>
      <c r="F329" s="1839"/>
      <c r="I329" s="490"/>
    </row>
    <row r="330" spans="1:9" ht="14.25">
      <c r="A330" s="484"/>
      <c r="B330" s="484"/>
      <c r="D330" s="1839"/>
      <c r="E330" s="1839"/>
      <c r="F330" s="1839"/>
      <c r="I330" s="490"/>
    </row>
    <row r="331" spans="1:9" ht="14.25">
      <c r="A331" s="484"/>
      <c r="B331" s="484"/>
      <c r="D331" s="1839"/>
      <c r="E331" s="1839"/>
      <c r="F331" s="1839"/>
      <c r="I331" s="490"/>
    </row>
    <row r="332" spans="1:9" ht="14.25">
      <c r="A332" s="484"/>
      <c r="B332" s="484"/>
      <c r="D332" s="1839"/>
      <c r="E332" s="1839"/>
      <c r="F332" s="1839"/>
      <c r="I332" s="490"/>
    </row>
    <row r="333" spans="1:9">
      <c r="D333" s="446"/>
      <c r="E333" s="446"/>
      <c r="F333" s="446"/>
      <c r="I333" s="490"/>
    </row>
    <row r="334" spans="1:9" ht="14.25">
      <c r="A334" s="484"/>
      <c r="B334" s="485" t="s">
        <v>2765</v>
      </c>
      <c r="D334" s="1839" t="s">
        <v>1131</v>
      </c>
      <c r="E334" s="1839"/>
      <c r="F334" s="1839"/>
      <c r="I334" s="490"/>
    </row>
    <row r="335" spans="1:9">
      <c r="D335" s="1839"/>
      <c r="E335" s="1839"/>
      <c r="F335" s="1839"/>
      <c r="I335" s="490"/>
    </row>
    <row r="336" spans="1:9">
      <c r="D336" s="1839"/>
      <c r="E336" s="1839"/>
      <c r="F336" s="1839"/>
      <c r="I336" s="490"/>
    </row>
    <row r="337" spans="1:9">
      <c r="D337" s="1839"/>
      <c r="E337" s="1839"/>
      <c r="F337" s="1839"/>
      <c r="I337" s="490"/>
    </row>
    <row r="338" spans="1:9">
      <c r="D338" s="1839"/>
      <c r="E338" s="1839"/>
      <c r="F338" s="1839"/>
      <c r="I338" s="490"/>
    </row>
    <row r="339" spans="1:9">
      <c r="D339" s="1839"/>
      <c r="E339" s="1839"/>
      <c r="F339" s="1839"/>
      <c r="I339" s="490"/>
    </row>
    <row r="340" spans="1:9">
      <c r="D340" s="1839"/>
      <c r="E340" s="1839"/>
      <c r="F340" s="1839"/>
      <c r="I340" s="490"/>
    </row>
    <row r="341" spans="1:9">
      <c r="D341" s="1839"/>
      <c r="E341" s="1839"/>
      <c r="F341" s="1839"/>
      <c r="I341" s="490"/>
    </row>
    <row r="342" spans="1:9">
      <c r="D342" s="1839"/>
      <c r="E342" s="1839"/>
      <c r="F342" s="1839"/>
      <c r="I342" s="490"/>
    </row>
    <row r="343" spans="1:9">
      <c r="D343" s="446"/>
      <c r="E343" s="446"/>
      <c r="F343" s="446"/>
      <c r="I343" s="490"/>
    </row>
    <row r="344" spans="1:9" ht="14.25" customHeight="1">
      <c r="A344" s="484"/>
      <c r="B344" s="485" t="s">
        <v>2765</v>
      </c>
      <c r="D344" s="1839" t="s">
        <v>1874</v>
      </c>
      <c r="E344" s="1839"/>
      <c r="F344" s="1839"/>
      <c r="I344" s="490"/>
    </row>
    <row r="345" spans="1:9">
      <c r="D345" s="1839"/>
      <c r="E345" s="1839"/>
      <c r="F345" s="1839"/>
      <c r="I345" s="490"/>
    </row>
    <row r="346" spans="1:9">
      <c r="D346" s="1839"/>
      <c r="E346" s="1839"/>
      <c r="F346" s="1839"/>
      <c r="I346" s="490"/>
    </row>
    <row r="347" spans="1:9">
      <c r="D347" s="1839"/>
      <c r="E347" s="1839"/>
      <c r="F347" s="1839"/>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850" t="s">
        <v>978</v>
      </c>
      <c r="E351" s="1850"/>
      <c r="F351" s="1850"/>
      <c r="G351" s="1022"/>
      <c r="H351" s="1022"/>
      <c r="I351" s="1150"/>
    </row>
    <row r="352" spans="1:9" ht="13.5" thickTop="1">
      <c r="D352" s="1860" t="s">
        <v>2197</v>
      </c>
      <c r="E352" s="1860"/>
      <c r="F352" s="1860"/>
      <c r="I352" s="490"/>
    </row>
    <row r="353" spans="1:9">
      <c r="D353" s="446"/>
      <c r="E353" s="446"/>
      <c r="F353" s="446"/>
      <c r="I353" s="490"/>
    </row>
    <row r="354" spans="1:9">
      <c r="A354" s="476"/>
      <c r="B354" s="476"/>
      <c r="C354" s="476"/>
      <c r="D354" s="447"/>
      <c r="E354" s="447"/>
      <c r="F354" s="446"/>
      <c r="I354" s="490"/>
    </row>
    <row r="355" spans="1:9" ht="14.25">
      <c r="A355" s="484"/>
      <c r="B355" s="485" t="s">
        <v>2765</v>
      </c>
      <c r="C355" s="487"/>
      <c r="D355" s="1841" t="s">
        <v>1872</v>
      </c>
      <c r="E355" s="1841"/>
      <c r="F355" s="1841"/>
      <c r="I355" s="490"/>
    </row>
    <row r="356" spans="1:9" ht="12.75" customHeight="1">
      <c r="D356" s="1032"/>
      <c r="E356" s="96" t="s">
        <v>1871</v>
      </c>
      <c r="F356" s="1032"/>
      <c r="I356" s="490"/>
    </row>
    <row r="357" spans="1:9">
      <c r="D357" s="1839" t="s">
        <v>1238</v>
      </c>
      <c r="E357" s="1839"/>
      <c r="F357" s="1839"/>
      <c r="I357" s="490"/>
    </row>
    <row r="358" spans="1:9">
      <c r="D358" s="1839"/>
      <c r="E358" s="1839"/>
      <c r="F358" s="1839"/>
      <c r="I358" s="490"/>
    </row>
    <row r="359" spans="1:9">
      <c r="D359" s="1839"/>
      <c r="E359" s="1839"/>
      <c r="F359" s="1839"/>
      <c r="I359" s="490"/>
    </row>
    <row r="360" spans="1:9" ht="14.25">
      <c r="A360" s="484"/>
      <c r="B360" s="485" t="s">
        <v>2765</v>
      </c>
      <c r="C360" s="476"/>
      <c r="D360" s="1849" t="s">
        <v>2014</v>
      </c>
      <c r="E360" s="1849"/>
      <c r="F360" s="1849"/>
      <c r="I360" s="480"/>
    </row>
    <row r="361" spans="1:9">
      <c r="A361" s="476"/>
      <c r="B361" s="476"/>
      <c r="C361" s="476"/>
      <c r="D361" s="447"/>
      <c r="E361" s="447"/>
      <c r="F361" s="446"/>
      <c r="I361" s="490"/>
    </row>
    <row r="362" spans="1:9">
      <c r="A362" s="476"/>
      <c r="B362" s="485" t="s">
        <v>2765</v>
      </c>
      <c r="C362" s="476"/>
      <c r="D362" s="1813" t="s">
        <v>2015</v>
      </c>
      <c r="E362" s="1813"/>
      <c r="F362" s="1813"/>
      <c r="I362" s="490"/>
    </row>
    <row r="363" spans="1:9">
      <c r="A363" s="476"/>
      <c r="B363" s="476"/>
      <c r="C363" s="476"/>
      <c r="D363" s="1813"/>
      <c r="E363" s="1813"/>
      <c r="F363" s="1813"/>
      <c r="I363" s="490"/>
    </row>
    <row r="364" spans="1:9">
      <c r="A364" s="476"/>
      <c r="B364" s="476"/>
      <c r="C364" s="476"/>
      <c r="D364" s="1813"/>
      <c r="E364" s="1813"/>
      <c r="F364" s="1813"/>
      <c r="I364" s="490"/>
    </row>
    <row r="365" spans="1:9">
      <c r="A365" s="476"/>
      <c r="B365" s="476"/>
      <c r="C365" s="476"/>
      <c r="D365" s="1813"/>
      <c r="E365" s="1813"/>
      <c r="F365" s="1813"/>
      <c r="I365" s="490"/>
    </row>
    <row r="366" spans="1:9">
      <c r="A366" s="476"/>
      <c r="B366" s="476"/>
      <c r="C366" s="476"/>
      <c r="D366" s="1813"/>
      <c r="E366" s="1813"/>
      <c r="F366" s="1813"/>
      <c r="I366" s="490"/>
    </row>
    <row r="367" spans="1:9">
      <c r="A367" s="476"/>
      <c r="B367" s="476"/>
      <c r="C367" s="476"/>
      <c r="D367" s="1813"/>
      <c r="E367" s="1813"/>
      <c r="F367" s="1813"/>
      <c r="I367" s="490"/>
    </row>
    <row r="368" spans="1:9">
      <c r="A368" s="476"/>
      <c r="B368" s="476"/>
      <c r="C368" s="476"/>
      <c r="D368" s="1813"/>
      <c r="E368" s="1813"/>
      <c r="F368" s="1813"/>
      <c r="I368" s="490"/>
    </row>
    <row r="369" spans="1:9">
      <c r="A369" s="476"/>
      <c r="B369" s="476"/>
      <c r="C369" s="476"/>
      <c r="D369" s="1813"/>
      <c r="E369" s="1813"/>
      <c r="F369" s="1813"/>
      <c r="I369" s="490"/>
    </row>
    <row r="370" spans="1:9">
      <c r="A370" s="476"/>
      <c r="B370" s="476"/>
      <c r="C370" s="476"/>
      <c r="D370" s="1813"/>
      <c r="E370" s="1813"/>
      <c r="F370" s="1813"/>
      <c r="I370" s="490"/>
    </row>
    <row r="371" spans="1:9">
      <c r="A371" s="476"/>
      <c r="B371" s="476"/>
      <c r="C371" s="476"/>
      <c r="D371" s="1813"/>
      <c r="E371" s="1813"/>
      <c r="F371" s="1813"/>
      <c r="I371" s="490"/>
    </row>
    <row r="372" spans="1:9">
      <c r="A372" s="476"/>
      <c r="B372" s="476"/>
      <c r="C372" s="476"/>
      <c r="D372" s="1813"/>
      <c r="E372" s="1813"/>
      <c r="F372" s="1813"/>
      <c r="I372" s="490"/>
    </row>
    <row r="373" spans="1:9">
      <c r="A373" s="476"/>
      <c r="B373" s="476"/>
      <c r="C373" s="476"/>
      <c r="D373" s="1813"/>
      <c r="E373" s="1813"/>
      <c r="F373" s="1813"/>
      <c r="I373" s="490"/>
    </row>
    <row r="374" spans="1:9">
      <c r="A374" s="476"/>
      <c r="B374" s="476"/>
      <c r="C374" s="476"/>
      <c r="D374" s="451"/>
      <c r="E374" s="451"/>
      <c r="F374" s="451"/>
      <c r="I374" s="490"/>
    </row>
    <row r="375" spans="1:9" ht="12.4" customHeight="1">
      <c r="A375" s="476"/>
      <c r="B375" s="485" t="s">
        <v>2765</v>
      </c>
      <c r="C375" s="476"/>
      <c r="D375" s="1821" t="s">
        <v>1220</v>
      </c>
      <c r="E375" s="1821"/>
      <c r="F375" s="1821"/>
      <c r="I375" s="490"/>
    </row>
    <row r="376" spans="1:9">
      <c r="A376" s="476"/>
      <c r="B376" s="476"/>
      <c r="C376" s="476"/>
      <c r="D376" s="1821"/>
      <c r="E376" s="1821"/>
      <c r="F376" s="1821"/>
      <c r="I376" s="490"/>
    </row>
    <row r="377" spans="1:9">
      <c r="A377" s="476"/>
      <c r="B377" s="476"/>
      <c r="C377" s="476"/>
      <c r="D377" s="1821"/>
      <c r="E377" s="1821"/>
      <c r="F377" s="1821"/>
      <c r="I377" s="490"/>
    </row>
    <row r="378" spans="1:9">
      <c r="A378" s="476"/>
      <c r="B378" s="476"/>
      <c r="C378" s="476"/>
      <c r="D378" s="1821"/>
      <c r="E378" s="1821"/>
      <c r="F378" s="1821"/>
      <c r="I378" s="490"/>
    </row>
    <row r="379" spans="1:9">
      <c r="A379" s="476"/>
      <c r="B379" s="476"/>
      <c r="C379" s="476"/>
      <c r="D379" s="524"/>
      <c r="E379" s="524"/>
      <c r="F379" s="524"/>
      <c r="I379" s="490"/>
    </row>
    <row r="380" spans="1:9">
      <c r="A380" s="476"/>
      <c r="B380" s="485" t="s">
        <v>2765</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25">
      <c r="A387" s="484"/>
      <c r="B387" s="485" t="s">
        <v>2765</v>
      </c>
      <c r="C387" s="476"/>
      <c r="D387" s="1813" t="s">
        <v>1132</v>
      </c>
      <c r="E387" s="1813"/>
      <c r="F387" s="1813"/>
      <c r="I387" s="490"/>
    </row>
    <row r="388" spans="1:9">
      <c r="A388" s="476"/>
      <c r="B388" s="476"/>
      <c r="C388" s="476"/>
      <c r="D388" s="1813"/>
      <c r="E388" s="1813"/>
      <c r="F388" s="1813"/>
      <c r="I388" s="490"/>
    </row>
    <row r="389" spans="1:9">
      <c r="A389" s="476"/>
      <c r="B389" s="476"/>
      <c r="C389" s="476"/>
      <c r="D389" s="1813"/>
      <c r="E389" s="1813"/>
      <c r="F389" s="1813"/>
      <c r="I389" s="490"/>
    </row>
    <row r="390" spans="1:9">
      <c r="A390" s="476"/>
      <c r="B390" s="476"/>
      <c r="C390" s="476"/>
      <c r="D390" s="1813"/>
      <c r="E390" s="1813"/>
      <c r="F390" s="1813"/>
      <c r="I390" s="490"/>
    </row>
    <row r="391" spans="1:9">
      <c r="A391" s="476"/>
      <c r="B391" s="476"/>
      <c r="C391" s="476"/>
      <c r="D391" s="447"/>
      <c r="E391" s="447"/>
      <c r="F391" s="446"/>
      <c r="I391" s="490"/>
    </row>
    <row r="392" spans="1:9">
      <c r="A392" s="476"/>
      <c r="B392" s="476"/>
      <c r="C392" s="476"/>
      <c r="D392" s="1813" t="s">
        <v>1133</v>
      </c>
      <c r="E392" s="1813"/>
      <c r="F392" s="1813"/>
      <c r="I392" s="490"/>
    </row>
    <row r="393" spans="1:9">
      <c r="A393" s="476"/>
      <c r="B393" s="476"/>
      <c r="C393" s="476"/>
      <c r="D393" s="1813"/>
      <c r="E393" s="1813"/>
      <c r="F393" s="1813"/>
      <c r="I393" s="490"/>
    </row>
    <row r="394" spans="1:9">
      <c r="A394" s="476"/>
      <c r="B394" s="476"/>
      <c r="C394" s="476"/>
      <c r="D394" s="1813"/>
      <c r="E394" s="1813"/>
      <c r="F394" s="1813"/>
      <c r="I394" s="490"/>
    </row>
    <row r="395" spans="1:9">
      <c r="A395" s="476"/>
      <c r="B395" s="476"/>
      <c r="C395" s="476"/>
      <c r="D395" s="1813"/>
      <c r="E395" s="1813"/>
      <c r="F395" s="1813"/>
      <c r="I395" s="490"/>
    </row>
    <row r="396" spans="1:9" ht="18" customHeight="1">
      <c r="A396" s="476"/>
      <c r="B396" s="476"/>
      <c r="C396" s="476"/>
      <c r="D396" s="1813"/>
      <c r="E396" s="1813"/>
      <c r="F396" s="1813"/>
      <c r="I396" s="490"/>
    </row>
    <row r="397" spans="1:9">
      <c r="A397" s="476"/>
      <c r="B397" s="476"/>
      <c r="C397" s="476"/>
      <c r="D397" s="1813"/>
      <c r="E397" s="1813"/>
      <c r="F397" s="1813"/>
      <c r="I397" s="490"/>
    </row>
    <row r="398" spans="1:9">
      <c r="A398" s="476"/>
      <c r="B398" s="476"/>
      <c r="C398" s="476"/>
      <c r="D398" s="1813"/>
      <c r="E398" s="1813"/>
      <c r="F398" s="1813"/>
      <c r="I398" s="490"/>
    </row>
    <row r="399" spans="1:9">
      <c r="A399" s="476"/>
      <c r="B399" s="476"/>
      <c r="C399" s="476"/>
      <c r="D399" s="1813"/>
      <c r="E399" s="1813"/>
      <c r="F399" s="1813"/>
      <c r="I399" s="490"/>
    </row>
    <row r="400" spans="1:9" ht="8.25" customHeight="1">
      <c r="A400" s="476"/>
      <c r="B400" s="476"/>
      <c r="C400" s="476"/>
      <c r="D400" s="1813"/>
      <c r="E400" s="1813"/>
      <c r="F400" s="1813"/>
      <c r="I400" s="490"/>
    </row>
    <row r="401" spans="1:9" ht="13.7" customHeight="1">
      <c r="A401" s="476"/>
      <c r="B401" s="476"/>
      <c r="C401" s="476"/>
      <c r="D401" s="1813" t="s">
        <v>1134</v>
      </c>
      <c r="E401" s="1813"/>
      <c r="F401" s="1813"/>
      <c r="I401" s="490"/>
    </row>
    <row r="402" spans="1:9">
      <c r="A402" s="476"/>
      <c r="B402" s="476"/>
      <c r="C402" s="476"/>
      <c r="D402" s="1813"/>
      <c r="E402" s="1813"/>
      <c r="F402" s="1813"/>
      <c r="I402" s="490"/>
    </row>
    <row r="403" spans="1:9">
      <c r="A403" s="476"/>
      <c r="B403" s="476"/>
      <c r="C403" s="476"/>
      <c r="D403" s="1813"/>
      <c r="E403" s="1813"/>
      <c r="F403" s="1813"/>
      <c r="I403" s="490"/>
    </row>
    <row r="404" spans="1:9">
      <c r="A404" s="476"/>
      <c r="B404" s="476"/>
      <c r="C404" s="476"/>
      <c r="D404" s="1813"/>
      <c r="E404" s="1813"/>
      <c r="F404" s="1813"/>
      <c r="I404" s="490"/>
    </row>
    <row r="405" spans="1:9">
      <c r="A405" s="476"/>
      <c r="B405" s="476"/>
      <c r="C405" s="476"/>
      <c r="D405" s="1813"/>
      <c r="E405" s="1813"/>
      <c r="F405" s="1813"/>
      <c r="I405" s="490"/>
    </row>
    <row r="406" spans="1:9">
      <c r="A406" s="476"/>
      <c r="B406" s="476"/>
      <c r="C406" s="476"/>
      <c r="D406" s="1813"/>
      <c r="E406" s="1813"/>
      <c r="F406" s="1813"/>
      <c r="I406" s="490"/>
    </row>
    <row r="407" spans="1:9">
      <c r="A407" s="476"/>
      <c r="B407" s="476"/>
      <c r="C407" s="476"/>
      <c r="D407" s="1813"/>
      <c r="E407" s="1813"/>
      <c r="F407" s="1813"/>
      <c r="I407" s="490"/>
    </row>
    <row r="408" spans="1:9">
      <c r="A408" s="476"/>
      <c r="B408" s="476"/>
      <c r="C408" s="476"/>
      <c r="D408" s="1813"/>
      <c r="E408" s="1813"/>
      <c r="F408" s="1813"/>
      <c r="I408" s="490"/>
    </row>
    <row r="409" spans="1:9">
      <c r="A409" s="476"/>
      <c r="B409" s="476"/>
      <c r="C409" s="476"/>
      <c r="D409" s="1813"/>
      <c r="E409" s="1813"/>
      <c r="F409" s="1813"/>
      <c r="I409" s="490"/>
    </row>
    <row r="410" spans="1:9">
      <c r="A410" s="476"/>
      <c r="B410" s="476"/>
      <c r="C410" s="476"/>
      <c r="D410" s="1813"/>
      <c r="E410" s="1813"/>
      <c r="F410" s="1813"/>
      <c r="I410" s="490"/>
    </row>
    <row r="411" spans="1:9">
      <c r="A411" s="476"/>
      <c r="B411" s="476"/>
      <c r="C411" s="476"/>
      <c r="D411" s="1813"/>
      <c r="E411" s="1813"/>
      <c r="F411" s="1813"/>
      <c r="I411" s="490"/>
    </row>
    <row r="412" spans="1:9">
      <c r="A412" s="476"/>
      <c r="B412" s="476"/>
      <c r="C412" s="476"/>
      <c r="D412" s="1813"/>
      <c r="E412" s="1813"/>
      <c r="F412" s="1813"/>
      <c r="I412" s="490"/>
    </row>
    <row r="413" spans="1:9">
      <c r="A413" s="476"/>
      <c r="B413" s="476"/>
      <c r="C413" s="496"/>
      <c r="D413" s="1813"/>
      <c r="E413" s="1813"/>
      <c r="F413" s="1813"/>
      <c r="I413" s="490"/>
    </row>
    <row r="414" spans="1:9">
      <c r="A414" s="476"/>
      <c r="B414" s="476"/>
      <c r="C414" s="496"/>
      <c r="D414" s="1813"/>
      <c r="E414" s="1813"/>
      <c r="F414" s="1813"/>
      <c r="I414" s="490"/>
    </row>
    <row r="415" spans="1:9">
      <c r="A415" s="476"/>
      <c r="B415" s="476"/>
      <c r="C415" s="476"/>
      <c r="D415" s="1813"/>
      <c r="E415" s="1813"/>
      <c r="F415" s="1813"/>
      <c r="I415" s="490"/>
    </row>
    <row r="416" spans="1:9">
      <c r="A416" s="476"/>
      <c r="B416" s="476"/>
      <c r="C416" s="496"/>
      <c r="D416" s="1813"/>
      <c r="E416" s="1813"/>
      <c r="F416" s="1813"/>
      <c r="I416" s="490"/>
    </row>
    <row r="417" spans="1:9">
      <c r="A417" s="476"/>
      <c r="B417" s="476"/>
      <c r="C417" s="496"/>
      <c r="D417" s="1813"/>
      <c r="E417" s="1813"/>
      <c r="F417" s="1813"/>
      <c r="I417" s="490"/>
    </row>
    <row r="418" spans="1:9">
      <c r="A418" s="476"/>
      <c r="B418" s="476"/>
      <c r="C418" s="496"/>
      <c r="D418" s="1813"/>
      <c r="E418" s="1813"/>
      <c r="F418" s="1813"/>
      <c r="I418" s="490"/>
    </row>
    <row r="419" spans="1:9">
      <c r="A419" s="476"/>
      <c r="B419" s="476"/>
      <c r="C419" s="476"/>
      <c r="D419" s="447"/>
      <c r="E419" s="447"/>
      <c r="F419" s="446"/>
      <c r="I419" s="490"/>
    </row>
    <row r="420" spans="1:9">
      <c r="A420" s="476"/>
      <c r="B420" s="485" t="s">
        <v>2765</v>
      </c>
      <c r="C420" s="476"/>
      <c r="D420" s="1813" t="s">
        <v>1135</v>
      </c>
      <c r="E420" s="1813"/>
      <c r="F420" s="1813"/>
      <c r="I420" s="490"/>
    </row>
    <row r="421" spans="1:9">
      <c r="A421" s="476"/>
      <c r="B421" s="476"/>
      <c r="C421" s="476"/>
      <c r="D421" s="1813"/>
      <c r="E421" s="1813"/>
      <c r="F421" s="1813"/>
      <c r="I421" s="490"/>
    </row>
    <row r="422" spans="1:9">
      <c r="A422" s="476"/>
      <c r="B422" s="476"/>
      <c r="C422" s="476"/>
      <c r="D422" s="451"/>
      <c r="E422" s="451"/>
      <c r="F422" s="451"/>
      <c r="I422" s="490"/>
    </row>
    <row r="423" spans="1:9" ht="14.45" customHeight="1">
      <c r="A423" s="484"/>
      <c r="B423" s="485" t="s">
        <v>2765</v>
      </c>
      <c r="D423" s="1813" t="s">
        <v>1854</v>
      </c>
      <c r="E423" s="1813"/>
      <c r="F423" s="1813"/>
      <c r="I423" s="490"/>
    </row>
    <row r="424" spans="1:9" ht="14.45" customHeight="1">
      <c r="A424" s="484"/>
      <c r="D424" s="1813"/>
      <c r="E424" s="1813"/>
      <c r="F424" s="1813"/>
      <c r="I424" s="490"/>
    </row>
    <row r="425" spans="1:9" ht="14.45" customHeight="1">
      <c r="A425" s="484"/>
      <c r="D425" s="1813"/>
      <c r="E425" s="1813"/>
      <c r="F425" s="1813"/>
      <c r="I425" s="490"/>
    </row>
    <row r="426" spans="1:9" ht="14.45" customHeight="1">
      <c r="A426" s="484"/>
      <c r="D426" s="1813"/>
      <c r="E426" s="1813"/>
      <c r="F426" s="1813"/>
      <c r="I426" s="490"/>
    </row>
    <row r="427" spans="1:9" ht="14.45" customHeight="1">
      <c r="A427" s="484"/>
      <c r="D427" s="1813"/>
      <c r="E427" s="1813"/>
      <c r="F427" s="1813"/>
      <c r="I427" s="490"/>
    </row>
    <row r="428" spans="1:9" ht="14.45" customHeight="1">
      <c r="A428" s="484"/>
      <c r="D428" s="385"/>
      <c r="E428" s="385"/>
      <c r="F428" s="385"/>
      <c r="I428" s="490"/>
    </row>
    <row r="429" spans="1:9" ht="13.7" customHeight="1">
      <c r="A429" s="484"/>
      <c r="B429" s="485" t="s">
        <v>2765</v>
      </c>
      <c r="C429" s="476"/>
      <c r="D429" s="1813" t="s">
        <v>1239</v>
      </c>
      <c r="E429" s="1813"/>
      <c r="F429" s="1813"/>
      <c r="I429" s="490"/>
    </row>
    <row r="430" spans="1:9" ht="14.25">
      <c r="A430" s="497"/>
      <c r="B430" s="497"/>
      <c r="C430" s="476"/>
      <c r="D430" s="1813"/>
      <c r="E430" s="1813"/>
      <c r="F430" s="1813"/>
      <c r="I430" s="490"/>
    </row>
    <row r="431" spans="1:9" ht="14.25">
      <c r="A431" s="497"/>
      <c r="B431" s="497"/>
      <c r="C431" s="476"/>
      <c r="D431" s="1813"/>
      <c r="E431" s="1813"/>
      <c r="F431" s="1813"/>
      <c r="I431" s="490"/>
    </row>
    <row r="432" spans="1:9" ht="14.25">
      <c r="A432" s="497"/>
      <c r="B432" s="497"/>
      <c r="C432" s="476"/>
      <c r="D432" s="1813"/>
      <c r="E432" s="1813"/>
      <c r="F432" s="1813"/>
      <c r="I432" s="490"/>
    </row>
    <row r="433" spans="1:9" ht="15.75" customHeight="1">
      <c r="A433" s="497"/>
      <c r="B433" s="497"/>
      <c r="C433" s="476"/>
      <c r="D433" s="1870" t="s">
        <v>2600</v>
      </c>
      <c r="E433" s="1813"/>
      <c r="F433" s="1813"/>
      <c r="I433" s="490"/>
    </row>
    <row r="434" spans="1:9">
      <c r="D434" s="446"/>
      <c r="E434" s="446"/>
      <c r="F434" s="446"/>
      <c r="I434" s="490"/>
    </row>
    <row r="435" spans="1:9" ht="14.25">
      <c r="A435" s="484"/>
      <c r="B435" s="485" t="s">
        <v>2765</v>
      </c>
      <c r="C435" s="487"/>
      <c r="D435" s="1839" t="s">
        <v>2016</v>
      </c>
      <c r="E435" s="1839"/>
      <c r="F435" s="1839"/>
      <c r="I435" s="490"/>
    </row>
    <row r="436" spans="1:9" ht="14.25">
      <c r="A436" s="484"/>
      <c r="B436" s="484"/>
      <c r="D436" s="1839"/>
      <c r="E436" s="1839"/>
      <c r="F436" s="1839"/>
      <c r="I436" s="490"/>
    </row>
    <row r="437" spans="1:9">
      <c r="D437" s="1839"/>
      <c r="E437" s="1839"/>
      <c r="F437" s="1839"/>
      <c r="I437" s="490"/>
    </row>
    <row r="438" spans="1:9">
      <c r="D438" s="1839"/>
      <c r="E438" s="1839"/>
      <c r="F438" s="1839"/>
      <c r="I438" s="490"/>
    </row>
    <row r="439" spans="1:9">
      <c r="D439" s="1839"/>
      <c r="E439" s="1839"/>
      <c r="F439" s="1839"/>
      <c r="I439" s="490"/>
    </row>
    <row r="440" spans="1:9">
      <c r="D440" s="1839"/>
      <c r="E440" s="1839"/>
      <c r="F440" s="1839"/>
      <c r="I440" s="490"/>
    </row>
    <row r="441" spans="1:9">
      <c r="D441" s="1839"/>
      <c r="E441" s="1839"/>
      <c r="F441" s="1839"/>
      <c r="I441" s="490"/>
    </row>
    <row r="442" spans="1:9">
      <c r="D442" s="1839"/>
      <c r="E442" s="1839"/>
      <c r="F442" s="1839"/>
      <c r="I442" s="490"/>
    </row>
    <row r="443" spans="1:9">
      <c r="D443" s="1839"/>
      <c r="E443" s="1839"/>
      <c r="F443" s="1839"/>
      <c r="I443" s="490"/>
    </row>
    <row r="444" spans="1:9">
      <c r="D444" s="1839"/>
      <c r="E444" s="1839"/>
      <c r="F444" s="1839"/>
      <c r="I444" s="490"/>
    </row>
    <row r="445" spans="1:9">
      <c r="D445" s="1839"/>
      <c r="E445" s="1839"/>
      <c r="F445" s="1839"/>
      <c r="I445" s="490"/>
    </row>
    <row r="446" spans="1:9">
      <c r="D446" s="1839"/>
      <c r="E446" s="1839"/>
      <c r="F446" s="1839"/>
      <c r="I446" s="490"/>
    </row>
    <row r="447" spans="1:9">
      <c r="D447" s="1839"/>
      <c r="E447" s="1839"/>
      <c r="F447" s="1839"/>
      <c r="I447" s="490"/>
    </row>
    <row r="448" spans="1:9">
      <c r="A448" s="402"/>
      <c r="B448" s="402"/>
      <c r="C448" s="402"/>
      <c r="D448" s="1839"/>
      <c r="E448" s="1839"/>
      <c r="F448" s="1839"/>
      <c r="I448" s="490"/>
    </row>
    <row r="449" spans="1:9">
      <c r="A449" s="402"/>
      <c r="B449" s="402"/>
      <c r="C449" s="402"/>
      <c r="D449" s="1839"/>
      <c r="E449" s="1839"/>
      <c r="F449" s="1839"/>
      <c r="I449" s="490"/>
    </row>
    <row r="450" spans="1:9">
      <c r="A450" s="402"/>
      <c r="B450" s="402"/>
      <c r="C450" s="402"/>
      <c r="D450" s="1839"/>
      <c r="E450" s="1839"/>
      <c r="F450" s="1839"/>
      <c r="I450" s="490"/>
    </row>
    <row r="451" spans="1:9">
      <c r="A451" s="402"/>
      <c r="B451" s="402"/>
      <c r="C451" s="402"/>
      <c r="D451" s="1839"/>
      <c r="E451" s="1839"/>
      <c r="F451" s="1839"/>
      <c r="I451" s="490"/>
    </row>
    <row r="452" spans="1:9">
      <c r="A452" s="402"/>
      <c r="B452" s="402"/>
      <c r="C452" s="402"/>
      <c r="D452" s="1839"/>
      <c r="E452" s="1839"/>
      <c r="F452" s="1839"/>
      <c r="I452" s="490"/>
    </row>
    <row r="453" spans="1:9">
      <c r="A453" s="402"/>
      <c r="B453" s="402"/>
      <c r="C453" s="402"/>
      <c r="D453" s="1839"/>
      <c r="E453" s="1839"/>
      <c r="F453" s="1839"/>
      <c r="I453" s="490"/>
    </row>
    <row r="454" spans="1:9">
      <c r="A454" s="402"/>
      <c r="B454" s="402"/>
      <c r="C454" s="402"/>
      <c r="D454" s="1839"/>
      <c r="E454" s="1839"/>
      <c r="F454" s="1839"/>
      <c r="I454" s="490"/>
    </row>
    <row r="455" spans="1:9">
      <c r="A455" s="402"/>
      <c r="B455" s="402"/>
      <c r="C455" s="402"/>
      <c r="D455" s="1839"/>
      <c r="E455" s="1839"/>
      <c r="F455" s="1839"/>
      <c r="I455" s="490"/>
    </row>
    <row r="456" spans="1:9">
      <c r="A456" s="402"/>
      <c r="B456" s="402"/>
      <c r="C456" s="402"/>
      <c r="D456" s="1839"/>
      <c r="E456" s="1839"/>
      <c r="F456" s="1839"/>
      <c r="I456" s="490"/>
    </row>
    <row r="457" spans="1:9">
      <c r="A457" s="402"/>
      <c r="B457" s="402"/>
      <c r="C457" s="402"/>
      <c r="D457" s="1839"/>
      <c r="E457" s="1839"/>
      <c r="F457" s="1839"/>
      <c r="I457" s="490"/>
    </row>
    <row r="458" spans="1:9">
      <c r="A458" s="402"/>
      <c r="B458" s="402"/>
      <c r="C458" s="402"/>
      <c r="D458" s="1839"/>
      <c r="E458" s="1839"/>
      <c r="F458" s="1839"/>
      <c r="I458" s="490"/>
    </row>
    <row r="459" spans="1:9">
      <c r="A459" s="402"/>
      <c r="B459" s="402"/>
      <c r="C459" s="402"/>
      <c r="D459" s="1839"/>
      <c r="E459" s="1839"/>
      <c r="F459" s="1839"/>
      <c r="I459" s="490"/>
    </row>
    <row r="460" spans="1:9">
      <c r="A460" s="402"/>
      <c r="B460" s="402"/>
      <c r="C460" s="402"/>
      <c r="D460" s="1839"/>
      <c r="E460" s="1839"/>
      <c r="F460" s="1839"/>
      <c r="I460" s="490"/>
    </row>
    <row r="461" spans="1:9">
      <c r="A461" s="402"/>
      <c r="B461" s="402"/>
      <c r="C461" s="402"/>
      <c r="D461" s="1839"/>
      <c r="E461" s="1839"/>
      <c r="F461" s="1839"/>
      <c r="I461" s="490"/>
    </row>
    <row r="462" spans="1:9">
      <c r="A462" s="402"/>
      <c r="B462" s="402"/>
      <c r="C462" s="402"/>
      <c r="D462" s="1839"/>
      <c r="E462" s="1839"/>
      <c r="F462" s="1839"/>
      <c r="I462" s="490"/>
    </row>
    <row r="463" spans="1:9">
      <c r="A463" s="402"/>
      <c r="B463" s="402"/>
      <c r="C463" s="402"/>
      <c r="D463" s="1839"/>
      <c r="E463" s="1839"/>
      <c r="F463" s="1839"/>
      <c r="I463" s="490"/>
    </row>
    <row r="464" spans="1:9">
      <c r="D464" s="1839"/>
      <c r="E464" s="1839"/>
      <c r="F464" s="1839"/>
      <c r="I464" s="490"/>
    </row>
    <row r="465" spans="1:9" ht="40.700000000000003" customHeight="1">
      <c r="D465" s="1839"/>
      <c r="E465" s="1839"/>
      <c r="F465" s="1839"/>
      <c r="I465" s="490"/>
    </row>
    <row r="466" spans="1:9">
      <c r="D466" s="446"/>
      <c r="E466" s="446"/>
      <c r="F466" s="446"/>
      <c r="I466" s="490"/>
    </row>
    <row r="467" spans="1:9" ht="14.25">
      <c r="A467" s="484"/>
      <c r="B467" s="485" t="s">
        <v>2765</v>
      </c>
      <c r="C467" s="487"/>
      <c r="D467" s="1839" t="s">
        <v>1136</v>
      </c>
      <c r="E467" s="1839"/>
      <c r="F467" s="1839"/>
      <c r="I467" s="490"/>
    </row>
    <row r="468" spans="1:9">
      <c r="D468" s="1839"/>
      <c r="E468" s="1839"/>
      <c r="F468" s="1839"/>
      <c r="I468" s="490"/>
    </row>
    <row r="469" spans="1:9">
      <c r="D469" s="1839"/>
      <c r="E469" s="1839"/>
      <c r="F469" s="1839"/>
      <c r="I469" s="490"/>
    </row>
    <row r="470" spans="1:9">
      <c r="D470" s="445"/>
      <c r="E470" s="445"/>
      <c r="F470" s="445"/>
      <c r="I470" s="490"/>
    </row>
    <row r="471" spans="1:9" ht="14.25">
      <c r="B471" s="485" t="s">
        <v>2765</v>
      </c>
      <c r="C471" s="484"/>
      <c r="D471" s="1839" t="s">
        <v>1196</v>
      </c>
      <c r="E471" s="1839"/>
      <c r="F471" s="1839"/>
      <c r="I471" s="490"/>
    </row>
    <row r="472" spans="1:9">
      <c r="D472" s="1839"/>
      <c r="E472" s="1839"/>
      <c r="F472" s="1839"/>
      <c r="I472" s="490"/>
    </row>
    <row r="473" spans="1:9">
      <c r="D473" s="446"/>
      <c r="E473" s="446"/>
      <c r="F473" s="446"/>
      <c r="I473" s="490"/>
    </row>
    <row r="474" spans="1:9" ht="14.25">
      <c r="B474" s="485" t="s">
        <v>2765</v>
      </c>
      <c r="C474" s="484"/>
      <c r="D474" s="1839" t="s">
        <v>1137</v>
      </c>
      <c r="E474" s="1839"/>
      <c r="F474" s="1839"/>
      <c r="I474" s="490"/>
    </row>
    <row r="475" spans="1:9">
      <c r="D475" s="1839"/>
      <c r="E475" s="1839"/>
      <c r="F475" s="1839"/>
      <c r="I475" s="490"/>
    </row>
    <row r="476" spans="1:9">
      <c r="D476" s="1839"/>
      <c r="E476" s="1839"/>
      <c r="F476" s="1839"/>
      <c r="I476" s="490"/>
    </row>
    <row r="477" spans="1:9">
      <c r="D477" s="1839"/>
      <c r="E477" s="1839"/>
      <c r="F477" s="1839"/>
      <c r="I477" s="490"/>
    </row>
    <row r="478" spans="1:9">
      <c r="B478" s="485" t="s">
        <v>2765</v>
      </c>
      <c r="D478" s="1839"/>
      <c r="E478" s="1839"/>
      <c r="F478" s="1839"/>
      <c r="I478" s="490"/>
    </row>
    <row r="479" spans="1:9">
      <c r="A479" s="402"/>
      <c r="B479" s="402"/>
      <c r="C479" s="402"/>
      <c r="D479" s="1839"/>
      <c r="E479" s="1839"/>
      <c r="F479" s="1839"/>
      <c r="I479" s="490"/>
    </row>
    <row r="480" spans="1:9">
      <c r="A480" s="402"/>
      <c r="C480" s="402"/>
      <c r="D480" s="1839"/>
      <c r="E480" s="1839"/>
      <c r="F480" s="1839"/>
      <c r="I480" s="490"/>
    </row>
    <row r="481" spans="1:9">
      <c r="A481" s="402"/>
      <c r="B481" s="485" t="s">
        <v>2765</v>
      </c>
      <c r="C481" s="402"/>
      <c r="D481" s="1839"/>
      <c r="E481" s="1839"/>
      <c r="F481" s="1839"/>
      <c r="I481" s="490"/>
    </row>
    <row r="482" spans="1:9">
      <c r="A482" s="402"/>
      <c r="B482" s="402"/>
      <c r="C482" s="402"/>
      <c r="D482" s="1839"/>
      <c r="E482" s="1839"/>
      <c r="F482" s="1839"/>
      <c r="I482" s="490"/>
    </row>
    <row r="483" spans="1:9">
      <c r="A483" s="402"/>
      <c r="C483" s="402"/>
      <c r="D483" s="1839"/>
      <c r="E483" s="1839"/>
      <c r="F483" s="1839"/>
      <c r="I483" s="490"/>
    </row>
    <row r="484" spans="1:9">
      <c r="A484" s="402"/>
      <c r="C484" s="402"/>
      <c r="D484" s="1839"/>
      <c r="E484" s="1839"/>
      <c r="F484" s="1839"/>
      <c r="I484" s="490"/>
    </row>
    <row r="485" spans="1:9">
      <c r="A485" s="402"/>
      <c r="C485" s="402"/>
      <c r="D485" s="1839"/>
      <c r="E485" s="1839"/>
      <c r="F485" s="1839"/>
      <c r="I485" s="490"/>
    </row>
    <row r="486" spans="1:9">
      <c r="A486" s="402"/>
      <c r="B486" s="485" t="s">
        <v>2765</v>
      </c>
      <c r="C486" s="402"/>
      <c r="D486" s="1839"/>
      <c r="E486" s="1839"/>
      <c r="F486" s="1839"/>
      <c r="I486" s="490"/>
    </row>
    <row r="487" spans="1:9">
      <c r="A487" s="402"/>
      <c r="C487" s="402"/>
      <c r="D487" s="1839"/>
      <c r="E487" s="1839"/>
      <c r="F487" s="1839"/>
      <c r="I487" s="490"/>
    </row>
    <row r="488" spans="1:9">
      <c r="A488" s="402"/>
      <c r="B488" s="485" t="s">
        <v>2765</v>
      </c>
      <c r="C488" s="402"/>
      <c r="D488" s="1839" t="s">
        <v>1138</v>
      </c>
      <c r="E488" s="1839"/>
      <c r="F488" s="1839"/>
      <c r="I488" s="490"/>
    </row>
    <row r="489" spans="1:9">
      <c r="A489" s="402"/>
      <c r="B489" s="402"/>
      <c r="C489" s="402"/>
      <c r="D489" s="1839"/>
      <c r="E489" s="1839"/>
      <c r="F489" s="1839"/>
      <c r="I489" s="490"/>
    </row>
    <row r="490" spans="1:9">
      <c r="A490" s="402"/>
      <c r="B490" s="402"/>
      <c r="C490" s="402"/>
      <c r="D490" s="1839"/>
      <c r="E490" s="1839"/>
      <c r="F490" s="1839"/>
      <c r="I490" s="490"/>
    </row>
    <row r="491" spans="1:9">
      <c r="A491" s="402"/>
      <c r="B491" s="402"/>
      <c r="C491" s="402"/>
      <c r="D491" s="1839"/>
      <c r="E491" s="1839"/>
      <c r="F491" s="1839"/>
      <c r="I491" s="490"/>
    </row>
    <row r="492" spans="1:9">
      <c r="D492" s="1839"/>
      <c r="E492" s="1839"/>
      <c r="F492" s="1839"/>
      <c r="I492" s="490"/>
    </row>
    <row r="493" spans="1:9">
      <c r="D493" s="446"/>
      <c r="E493" s="446"/>
      <c r="F493" s="446"/>
      <c r="I493" s="490"/>
    </row>
    <row r="494" spans="1:9">
      <c r="B494" s="485" t="s">
        <v>2765</v>
      </c>
      <c r="D494" s="1841" t="s">
        <v>1139</v>
      </c>
      <c r="E494" s="1841"/>
      <c r="F494" s="1841"/>
      <c r="I494" s="490"/>
    </row>
    <row r="495" spans="1:9">
      <c r="A495" s="446"/>
      <c r="B495" s="446"/>
      <c r="I495" s="490"/>
    </row>
    <row r="496" spans="1:9">
      <c r="A496" s="1840" t="s">
        <v>1049</v>
      </c>
      <c r="B496" s="1840"/>
      <c r="C496" s="1840"/>
      <c r="D496" s="1840"/>
      <c r="E496" s="1840"/>
      <c r="F496" s="1840"/>
      <c r="G496" s="1840"/>
      <c r="H496" s="1023"/>
      <c r="I496" s="1147"/>
    </row>
    <row r="497" spans="1:9">
      <c r="A497" s="446"/>
      <c r="B497" s="446"/>
      <c r="I497" s="490"/>
    </row>
    <row r="498" spans="1:9">
      <c r="D498" s="1869" t="s">
        <v>882</v>
      </c>
      <c r="E498" s="1869"/>
      <c r="F498" s="1869"/>
      <c r="I498" s="490"/>
    </row>
    <row r="499" spans="1:9" ht="14.25">
      <c r="A499" s="484"/>
      <c r="B499" s="484"/>
      <c r="D499" s="1849" t="s">
        <v>1140</v>
      </c>
      <c r="E499" s="1849"/>
      <c r="F499" s="1849"/>
      <c r="I499" s="490"/>
    </row>
    <row r="500" spans="1:9" ht="14.25">
      <c r="A500" s="484"/>
      <c r="B500" s="484"/>
      <c r="D500" s="447"/>
      <c r="I500" s="490"/>
    </row>
    <row r="501" spans="1:9" ht="14.25">
      <c r="A501" s="484"/>
      <c r="B501" s="485" t="s">
        <v>2765</v>
      </c>
      <c r="D501" s="1813" t="s">
        <v>1141</v>
      </c>
      <c r="E501" s="1813"/>
      <c r="F501" s="1813"/>
      <c r="I501" s="490"/>
    </row>
    <row r="502" spans="1:9" ht="14.25">
      <c r="A502" s="484"/>
      <c r="B502" s="484"/>
      <c r="D502" s="1813"/>
      <c r="E502" s="1813"/>
      <c r="F502" s="1813"/>
      <c r="I502" s="490"/>
    </row>
    <row r="503" spans="1:9" ht="14.25">
      <c r="A503" s="484"/>
      <c r="B503" s="484"/>
      <c r="D503" s="446"/>
      <c r="I503" s="490"/>
    </row>
    <row r="504" spans="1:9" ht="12.75" customHeight="1">
      <c r="B504" s="485" t="s">
        <v>2765</v>
      </c>
      <c r="D504" s="1855" t="s">
        <v>1272</v>
      </c>
      <c r="E504" s="1855"/>
      <c r="F504" s="1855"/>
      <c r="I504" s="490"/>
    </row>
    <row r="505" spans="1:9" ht="14.25">
      <c r="A505" s="484"/>
      <c r="D505" s="1855"/>
      <c r="E505" s="1855"/>
      <c r="F505" s="1855"/>
      <c r="I505" s="490"/>
    </row>
    <row r="506" spans="1:9" ht="14.25">
      <c r="A506" s="484"/>
      <c r="B506" s="484"/>
      <c r="D506" s="1855"/>
      <c r="E506" s="1855"/>
      <c r="F506" s="1855"/>
      <c r="I506" s="490"/>
    </row>
    <row r="507" spans="1:9" ht="14.25">
      <c r="A507" s="484"/>
      <c r="B507" s="484"/>
      <c r="D507" s="1855"/>
      <c r="E507" s="1855"/>
      <c r="F507" s="1855"/>
      <c r="I507" s="490"/>
    </row>
    <row r="508" spans="1:9" ht="14.25">
      <c r="A508" s="484"/>
      <c r="D508" s="520"/>
      <c r="E508" s="520"/>
      <c r="F508" s="520"/>
      <c r="I508" s="490"/>
    </row>
    <row r="509" spans="1:9" ht="14.25">
      <c r="A509" s="484"/>
      <c r="B509" s="485" t="s">
        <v>2765</v>
      </c>
      <c r="D509" s="1841" t="s">
        <v>1142</v>
      </c>
      <c r="E509" s="1841"/>
      <c r="F509" s="1841"/>
      <c r="I509" s="490"/>
    </row>
    <row r="510" spans="1:9" ht="14.25">
      <c r="A510" s="484"/>
      <c r="B510" s="484"/>
      <c r="D510" s="446"/>
      <c r="I510" s="490"/>
    </row>
    <row r="511" spans="1:9" ht="14.25">
      <c r="A511" s="484"/>
      <c r="B511" s="485" t="s">
        <v>2765</v>
      </c>
      <c r="D511" s="1839" t="s">
        <v>1143</v>
      </c>
      <c r="E511" s="1839"/>
      <c r="F511" s="1839"/>
      <c r="I511" s="490"/>
    </row>
    <row r="512" spans="1:9" ht="14.25">
      <c r="A512" s="484"/>
      <c r="D512" s="1839"/>
      <c r="E512" s="1839"/>
      <c r="F512" s="1839"/>
      <c r="I512" s="490"/>
    </row>
    <row r="513" spans="1:9">
      <c r="A513" s="490"/>
      <c r="B513" s="490"/>
      <c r="D513" s="447"/>
      <c r="I513" s="490"/>
    </row>
    <row r="514" spans="1:9">
      <c r="A514" s="490"/>
      <c r="B514" s="485" t="s">
        <v>2765</v>
      </c>
      <c r="D514" s="1841" t="s">
        <v>1144</v>
      </c>
      <c r="E514" s="1841"/>
      <c r="F514" s="1841"/>
      <c r="I514" s="490"/>
    </row>
    <row r="515" spans="1:9">
      <c r="D515" s="446"/>
      <c r="E515" s="446"/>
      <c r="F515" s="446"/>
      <c r="I515" s="490"/>
    </row>
    <row r="516" spans="1:9">
      <c r="B516" s="485" t="s">
        <v>2765</v>
      </c>
      <c r="D516" s="1839" t="s">
        <v>2219</v>
      </c>
      <c r="E516" s="1839"/>
      <c r="F516" s="1839"/>
      <c r="I516" s="490"/>
    </row>
    <row r="517" spans="1:9">
      <c r="D517" s="1839"/>
      <c r="E517" s="1839"/>
      <c r="F517" s="1839"/>
      <c r="I517" s="490"/>
    </row>
    <row r="518" spans="1:9">
      <c r="D518" s="1839"/>
      <c r="E518" s="1839"/>
      <c r="F518" s="1839"/>
      <c r="I518" s="490"/>
    </row>
    <row r="519" spans="1:9">
      <c r="D519" s="446"/>
      <c r="E519" s="446"/>
      <c r="F519" s="446"/>
      <c r="I519" s="490"/>
    </row>
    <row r="520" spans="1:9" ht="14.25">
      <c r="A520" s="484"/>
      <c r="B520" s="484"/>
      <c r="D520" s="446"/>
      <c r="I520" s="490"/>
    </row>
    <row r="521" spans="1:9">
      <c r="A521" s="1840" t="s">
        <v>1050</v>
      </c>
      <c r="B521" s="1840"/>
      <c r="C521" s="1840"/>
      <c r="D521" s="1840"/>
      <c r="E521" s="1840"/>
      <c r="F521" s="1840"/>
      <c r="G521" s="1840"/>
      <c r="H521" s="1023"/>
      <c r="I521" s="1147"/>
    </row>
    <row r="522" spans="1:9" ht="12" customHeight="1">
      <c r="A522" s="484"/>
      <c r="B522" s="484"/>
      <c r="D522" s="446"/>
      <c r="I522" s="490"/>
    </row>
    <row r="523" spans="1:9">
      <c r="C523" s="482"/>
      <c r="D523" s="1842" t="s">
        <v>792</v>
      </c>
      <c r="E523" s="1842"/>
      <c r="F523" s="1842"/>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2776</v>
      </c>
      <c r="C527" s="483"/>
      <c r="D527" s="1813" t="s">
        <v>2017</v>
      </c>
      <c r="E527" s="1813"/>
      <c r="F527" s="1813"/>
      <c r="I527" s="490"/>
    </row>
    <row r="528" spans="1:9">
      <c r="A528" s="483"/>
      <c r="B528" s="483"/>
      <c r="C528" s="483"/>
      <c r="D528" s="1813"/>
      <c r="E528" s="1813"/>
      <c r="F528" s="1813"/>
      <c r="I528" s="490"/>
    </row>
    <row r="529" spans="1:9">
      <c r="A529" s="483"/>
      <c r="B529" s="483"/>
      <c r="C529" s="483"/>
      <c r="D529" s="451"/>
      <c r="E529" s="451"/>
      <c r="F529" s="451"/>
      <c r="I529" s="480"/>
    </row>
    <row r="530" spans="1:9" ht="12.75" customHeight="1">
      <c r="A530" s="483"/>
      <c r="B530" s="485" t="s">
        <v>2765</v>
      </c>
      <c r="D530" s="386" t="s">
        <v>1875</v>
      </c>
      <c r="E530" s="385"/>
      <c r="F530" s="385"/>
      <c r="I530" s="490"/>
    </row>
    <row r="531" spans="1:9">
      <c r="A531" s="483"/>
      <c r="B531" s="483"/>
      <c r="C531" s="483"/>
      <c r="D531" s="385"/>
      <c r="E531" s="96" t="s">
        <v>1876</v>
      </c>
      <c r="I531" s="490"/>
    </row>
    <row r="532" spans="1:9">
      <c r="A532" s="483"/>
      <c r="B532" s="483"/>
      <c r="D532" s="1821" t="s">
        <v>2018</v>
      </c>
      <c r="E532" s="1821"/>
      <c r="F532" s="1821"/>
      <c r="I532" s="490"/>
    </row>
    <row r="533" spans="1:9">
      <c r="A533" s="483"/>
      <c r="B533" s="483"/>
      <c r="D533" s="1821"/>
      <c r="E533" s="1821"/>
      <c r="F533" s="1821"/>
      <c r="I533" s="490"/>
    </row>
    <row r="534" spans="1:9">
      <c r="A534" s="483"/>
      <c r="B534" s="483"/>
      <c r="C534" s="483"/>
      <c r="D534" s="1821"/>
      <c r="E534" s="1821"/>
      <c r="F534" s="1821"/>
      <c r="I534" s="490"/>
    </row>
    <row r="535" spans="1:9">
      <c r="A535" s="483"/>
      <c r="B535" s="483"/>
      <c r="C535" s="483"/>
      <c r="D535" s="498"/>
      <c r="F535" s="446"/>
      <c r="I535" s="490"/>
    </row>
    <row r="536" spans="1:9" ht="13.15" customHeight="1">
      <c r="A536" s="483"/>
      <c r="B536" s="485" t="s">
        <v>2765</v>
      </c>
      <c r="C536" s="483"/>
      <c r="D536" s="1839" t="s">
        <v>2624</v>
      </c>
      <c r="E536" s="1839"/>
      <c r="F536" s="1839"/>
      <c r="I536" s="490"/>
    </row>
    <row r="537" spans="1:9" ht="13.15" customHeight="1">
      <c r="A537" s="483"/>
      <c r="B537" s="483"/>
      <c r="C537" s="483"/>
      <c r="D537" s="1839"/>
      <c r="E537" s="1839"/>
      <c r="F537" s="1839"/>
      <c r="I537" s="490"/>
    </row>
    <row r="538" spans="1:9">
      <c r="A538" s="483"/>
      <c r="B538" s="483"/>
      <c r="C538" s="483"/>
      <c r="D538" s="1839"/>
      <c r="E538" s="1839"/>
      <c r="F538" s="1839"/>
      <c r="I538" s="490"/>
    </row>
    <row r="539" spans="1:9" ht="12" customHeight="1">
      <c r="A539" s="446"/>
      <c r="B539" s="446"/>
      <c r="C539" s="487"/>
      <c r="D539" s="446"/>
      <c r="F539" s="448"/>
      <c r="I539" s="490"/>
    </row>
    <row r="540" spans="1:9">
      <c r="A540" s="1840" t="s">
        <v>1051</v>
      </c>
      <c r="B540" s="1840"/>
      <c r="C540" s="1840"/>
      <c r="D540" s="1840"/>
      <c r="E540" s="1840"/>
      <c r="F540" s="1840"/>
      <c r="G540" s="1840"/>
      <c r="H540" s="1023"/>
      <c r="I540" s="1147"/>
    </row>
    <row r="541" spans="1:9">
      <c r="A541" s="446"/>
      <c r="B541" s="446"/>
      <c r="C541" s="487"/>
      <c r="F541" s="448"/>
      <c r="I541" s="490"/>
    </row>
    <row r="542" spans="1:9">
      <c r="B542" s="1845" t="s">
        <v>445</v>
      </c>
      <c r="C542" s="1845"/>
      <c r="D542" s="1845"/>
      <c r="E542" s="1845"/>
      <c r="F542" s="1845"/>
      <c r="I542" s="490"/>
    </row>
    <row r="543" spans="1:9">
      <c r="A543" s="446"/>
      <c r="B543" s="446"/>
      <c r="C543" s="487"/>
      <c r="D543" s="446"/>
      <c r="F543" s="446"/>
      <c r="I543" s="490"/>
    </row>
    <row r="544" spans="1:9">
      <c r="A544" s="1843" t="s">
        <v>1052</v>
      </c>
      <c r="B544" s="1843"/>
      <c r="C544" s="1843"/>
      <c r="D544" s="1843"/>
      <c r="E544" s="1843"/>
      <c r="F544" s="1843"/>
      <c r="G544" s="1843"/>
      <c r="H544" s="1023"/>
      <c r="I544" s="1147"/>
    </row>
    <row r="545" spans="1:9">
      <c r="A545" s="446"/>
      <c r="B545" s="446"/>
      <c r="C545" s="487"/>
      <c r="D545" s="446"/>
      <c r="F545" s="446"/>
      <c r="I545" s="490"/>
    </row>
    <row r="546" spans="1:9">
      <c r="C546" s="487"/>
      <c r="D546" s="1842" t="s">
        <v>682</v>
      </c>
      <c r="E546" s="1842"/>
      <c r="F546" s="1842"/>
      <c r="I546" s="490"/>
    </row>
    <row r="547" spans="1:9">
      <c r="C547" s="487"/>
      <c r="D547" s="1841" t="s">
        <v>1080</v>
      </c>
      <c r="E547" s="1841"/>
      <c r="F547" s="1841"/>
      <c r="I547" s="490"/>
    </row>
    <row r="548" spans="1:9">
      <c r="C548" s="487"/>
      <c r="D548" s="446"/>
      <c r="E548" s="446"/>
      <c r="F548" s="446"/>
      <c r="I548" s="490"/>
    </row>
    <row r="549" spans="1:9" ht="13.7" customHeight="1">
      <c r="A549" s="484"/>
      <c r="B549" s="485" t="s">
        <v>2776</v>
      </c>
      <c r="C549" s="487"/>
      <c r="D549" s="1841" t="s">
        <v>883</v>
      </c>
      <c r="E549" s="1841"/>
      <c r="F549" s="1841"/>
      <c r="I549" s="490"/>
    </row>
    <row r="550" spans="1:9" ht="13.7" customHeight="1">
      <c r="A550" s="487"/>
      <c r="B550" s="487"/>
      <c r="C550" s="487"/>
      <c r="D550" s="446"/>
      <c r="I550" s="490"/>
    </row>
    <row r="551" spans="1:9" ht="14.25">
      <c r="A551" s="484"/>
      <c r="B551" s="485" t="s">
        <v>2776</v>
      </c>
      <c r="C551" s="487"/>
      <c r="D551" s="1839" t="s">
        <v>1081</v>
      </c>
      <c r="E551" s="1839"/>
      <c r="F551" s="1839"/>
      <c r="I551" s="490"/>
    </row>
    <row r="552" spans="1:9">
      <c r="A552" s="487"/>
      <c r="B552" s="487"/>
      <c r="C552" s="487"/>
      <c r="D552" s="1839"/>
      <c r="E552" s="1839"/>
      <c r="F552" s="1839"/>
      <c r="I552" s="490"/>
    </row>
    <row r="553" spans="1:9">
      <c r="A553" s="487"/>
      <c r="B553" s="487"/>
      <c r="C553" s="487"/>
      <c r="D553" s="446"/>
      <c r="E553" s="446"/>
      <c r="F553" s="446"/>
      <c r="I553" s="490"/>
    </row>
    <row r="554" spans="1:9" ht="14.25">
      <c r="A554" s="484"/>
      <c r="B554" s="485" t="s">
        <v>2776</v>
      </c>
      <c r="C554" s="487"/>
      <c r="D554" s="1839" t="s">
        <v>1082</v>
      </c>
      <c r="E554" s="1839"/>
      <c r="F554" s="1839"/>
      <c r="I554" s="490"/>
    </row>
    <row r="555" spans="1:9">
      <c r="A555" s="487"/>
      <c r="B555" s="487"/>
      <c r="C555" s="487"/>
      <c r="D555" s="1839"/>
      <c r="E555" s="1839"/>
      <c r="F555" s="1839"/>
      <c r="I555" s="490"/>
    </row>
    <row r="556" spans="1:9">
      <c r="A556" s="487"/>
      <c r="B556" s="487"/>
      <c r="C556" s="487"/>
      <c r="D556" s="446"/>
      <c r="E556" s="446"/>
      <c r="F556" s="446"/>
      <c r="I556" s="490"/>
    </row>
    <row r="557" spans="1:9" ht="14.25">
      <c r="A557" s="484"/>
      <c r="B557" s="485" t="s">
        <v>2776</v>
      </c>
      <c r="C557" s="487"/>
      <c r="D557" s="1839" t="s">
        <v>1083</v>
      </c>
      <c r="E557" s="1839"/>
      <c r="F557" s="1839"/>
      <c r="I557" s="490"/>
    </row>
    <row r="558" spans="1:9">
      <c r="A558" s="487"/>
      <c r="B558" s="487"/>
      <c r="C558" s="487"/>
      <c r="D558" s="1839"/>
      <c r="E558" s="1839"/>
      <c r="F558" s="1839"/>
      <c r="I558" s="490"/>
    </row>
    <row r="559" spans="1:9">
      <c r="A559" s="487"/>
      <c r="B559" s="487"/>
      <c r="C559" s="487"/>
      <c r="D559" s="446"/>
      <c r="E559" s="446"/>
      <c r="F559" s="446"/>
      <c r="I559" s="490"/>
    </row>
    <row r="560" spans="1:9" ht="14.25">
      <c r="A560" s="484"/>
      <c r="B560" s="485" t="s">
        <v>2776</v>
      </c>
      <c r="C560" s="487"/>
      <c r="D560" s="1839" t="s">
        <v>1084</v>
      </c>
      <c r="E560" s="1839"/>
      <c r="F560" s="1839"/>
      <c r="I560" s="490"/>
    </row>
    <row r="561" spans="1:9">
      <c r="A561" s="487"/>
      <c r="B561" s="487"/>
      <c r="C561" s="487"/>
      <c r="D561" s="1839"/>
      <c r="E561" s="1839"/>
      <c r="F561" s="1839"/>
      <c r="I561" s="490"/>
    </row>
    <row r="562" spans="1:9">
      <c r="A562" s="487"/>
      <c r="B562" s="487"/>
      <c r="C562" s="487"/>
      <c r="D562" s="1839"/>
      <c r="E562" s="1839"/>
      <c r="F562" s="1839"/>
      <c r="I562" s="490"/>
    </row>
    <row r="563" spans="1:9">
      <c r="A563" s="487"/>
      <c r="B563" s="487"/>
      <c r="C563" s="487"/>
      <c r="D563" s="446"/>
      <c r="E563" s="446"/>
      <c r="F563" s="446"/>
      <c r="I563" s="490"/>
    </row>
    <row r="564" spans="1:9" ht="14.25">
      <c r="A564" s="484"/>
      <c r="B564" s="485" t="s">
        <v>2765</v>
      </c>
      <c r="C564" s="487"/>
      <c r="D564" s="1839" t="s">
        <v>2198</v>
      </c>
      <c r="E564" s="1839"/>
      <c r="F564" s="1839"/>
      <c r="I564" s="490"/>
    </row>
    <row r="565" spans="1:9">
      <c r="A565" s="487"/>
      <c r="B565" s="487"/>
      <c r="C565" s="487"/>
      <c r="D565" s="1839"/>
      <c r="E565" s="1839"/>
      <c r="F565" s="1839"/>
      <c r="I565" s="490"/>
    </row>
    <row r="566" spans="1:9">
      <c r="A566" s="487"/>
      <c r="B566" s="487"/>
      <c r="C566" s="487"/>
      <c r="D566" s="446"/>
      <c r="E566" s="446"/>
      <c r="F566" s="446"/>
      <c r="I566" s="490"/>
    </row>
    <row r="567" spans="1:9" ht="14.25">
      <c r="A567" s="484"/>
      <c r="B567" s="485" t="s">
        <v>2765</v>
      </c>
      <c r="C567" s="487"/>
      <c r="D567" s="1839" t="s">
        <v>1085</v>
      </c>
      <c r="E567" s="1839"/>
      <c r="F567" s="1839"/>
      <c r="I567" s="490"/>
    </row>
    <row r="568" spans="1:9">
      <c r="A568" s="487"/>
      <c r="B568" s="487"/>
      <c r="C568" s="487"/>
      <c r="D568" s="1839"/>
      <c r="E568" s="1839"/>
      <c r="F568" s="1839"/>
      <c r="I568" s="490"/>
    </row>
    <row r="569" spans="1:9">
      <c r="A569" s="487"/>
      <c r="B569" s="487"/>
      <c r="C569" s="487"/>
      <c r="D569" s="446"/>
      <c r="E569" s="446"/>
      <c r="F569" s="446"/>
      <c r="I569" s="490"/>
    </row>
    <row r="570" spans="1:9" ht="14.25">
      <c r="A570" s="484"/>
      <c r="B570" s="485" t="s">
        <v>2776</v>
      </c>
      <c r="C570" s="487"/>
      <c r="D570" s="1841" t="s">
        <v>1086</v>
      </c>
      <c r="E570" s="1841"/>
      <c r="F570" s="1841"/>
      <c r="I570" s="490"/>
    </row>
    <row r="571" spans="1:9">
      <c r="A571" s="490"/>
      <c r="B571" s="490"/>
      <c r="C571" s="487"/>
      <c r="D571" s="1841" t="s">
        <v>1878</v>
      </c>
      <c r="E571" s="1841"/>
      <c r="F571" s="1841"/>
      <c r="I571" s="490"/>
    </row>
    <row r="572" spans="1:9">
      <c r="A572" s="490"/>
      <c r="B572" s="490"/>
      <c r="C572" s="487"/>
      <c r="E572" s="96" t="s">
        <v>1877</v>
      </c>
      <c r="F572" s="404"/>
      <c r="I572" s="490"/>
    </row>
    <row r="573" spans="1:9" ht="14.25">
      <c r="A573" s="484"/>
      <c r="B573" s="484"/>
      <c r="C573" s="487"/>
      <c r="E573" s="446"/>
      <c r="F573" s="446"/>
      <c r="I573" s="490"/>
    </row>
    <row r="574" spans="1:9" ht="14.25">
      <c r="A574" s="484"/>
      <c r="B574" s="485" t="s">
        <v>2776</v>
      </c>
      <c r="C574" s="487"/>
      <c r="D574" s="1841" t="s">
        <v>1087</v>
      </c>
      <c r="E574" s="1841"/>
      <c r="F574" s="1841"/>
      <c r="I574" s="490"/>
    </row>
    <row r="575" spans="1:9">
      <c r="C575" s="487"/>
      <c r="D575" s="1839" t="s">
        <v>1088</v>
      </c>
      <c r="E575" s="1839"/>
      <c r="F575" s="1839"/>
      <c r="I575" s="490"/>
    </row>
    <row r="576" spans="1:9">
      <c r="A576" s="487"/>
      <c r="B576" s="487"/>
      <c r="C576" s="487"/>
      <c r="D576" s="1839"/>
      <c r="E576" s="1839"/>
      <c r="F576" s="1839"/>
      <c r="I576" s="490"/>
    </row>
    <row r="577" spans="1:9">
      <c r="A577" s="487"/>
      <c r="B577" s="487"/>
      <c r="C577" s="487"/>
      <c r="D577" s="1839"/>
      <c r="E577" s="1839"/>
      <c r="F577" s="1839"/>
      <c r="I577" s="490"/>
    </row>
    <row r="578" spans="1:9">
      <c r="A578" s="487"/>
      <c r="B578" s="487"/>
      <c r="C578" s="487"/>
      <c r="D578" s="446"/>
      <c r="E578" s="446"/>
      <c r="F578" s="446"/>
      <c r="I578" s="490"/>
    </row>
    <row r="579" spans="1:9" ht="14.25">
      <c r="A579" s="484"/>
      <c r="B579" s="485" t="s">
        <v>2776</v>
      </c>
      <c r="C579" s="487"/>
      <c r="D579" s="1839" t="s">
        <v>2019</v>
      </c>
      <c r="E579" s="1839"/>
      <c r="F579" s="1839"/>
      <c r="I579" s="490"/>
    </row>
    <row r="580" spans="1:9" ht="14.25">
      <c r="A580" s="484"/>
      <c r="B580" s="484"/>
      <c r="C580" s="487"/>
      <c r="D580" s="1839"/>
      <c r="E580" s="1839"/>
      <c r="F580" s="1839"/>
      <c r="I580" s="490"/>
    </row>
    <row r="581" spans="1:9" ht="14.25">
      <c r="A581" s="484"/>
      <c r="B581" s="484"/>
      <c r="C581" s="487"/>
      <c r="D581" s="1839"/>
      <c r="E581" s="1839"/>
      <c r="F581" s="1839"/>
      <c r="I581" s="490"/>
    </row>
    <row r="582" spans="1:9" ht="14.25">
      <c r="A582" s="484"/>
      <c r="B582" s="484"/>
      <c r="C582" s="487"/>
      <c r="D582" s="1839"/>
      <c r="E582" s="1839"/>
      <c r="F582" s="1839"/>
      <c r="I582" s="490"/>
    </row>
    <row r="583" spans="1:9" ht="14.25">
      <c r="A583" s="484"/>
      <c r="B583" s="484"/>
      <c r="C583" s="487"/>
      <c r="D583" s="446"/>
      <c r="E583" s="446"/>
      <c r="F583" s="446"/>
      <c r="I583" s="490"/>
    </row>
    <row r="584" spans="1:9">
      <c r="A584" s="1840" t="s">
        <v>1053</v>
      </c>
      <c r="B584" s="1840"/>
      <c r="C584" s="1840"/>
      <c r="D584" s="1840"/>
      <c r="E584" s="1840"/>
      <c r="F584" s="1840"/>
      <c r="G584" s="1840"/>
      <c r="H584" s="1023"/>
      <c r="I584" s="1147"/>
    </row>
    <row r="585" spans="1:9">
      <c r="A585" s="487"/>
      <c r="B585" s="487"/>
      <c r="C585" s="487"/>
      <c r="E585" s="446"/>
      <c r="F585" s="446"/>
      <c r="I585" s="490"/>
    </row>
    <row r="586" spans="1:9" ht="12.75" customHeight="1">
      <c r="C586" s="482"/>
      <c r="D586" s="1859" t="s">
        <v>210</v>
      </c>
      <c r="E586" s="1859"/>
      <c r="F586" s="1859"/>
      <c r="I586" s="490"/>
    </row>
    <row r="587" spans="1:9">
      <c r="A587" s="483"/>
      <c r="B587" s="483"/>
      <c r="C587" s="483"/>
      <c r="D587" s="1855" t="s">
        <v>1066</v>
      </c>
      <c r="E587" s="1855"/>
      <c r="F587" s="1855"/>
      <c r="I587" s="490"/>
    </row>
    <row r="588" spans="1:9">
      <c r="A588" s="402"/>
      <c r="B588" s="402"/>
      <c r="C588" s="483"/>
      <c r="D588" s="499"/>
      <c r="I588" s="490"/>
    </row>
    <row r="589" spans="1:9">
      <c r="A589" s="483"/>
      <c r="B589" s="485" t="s">
        <v>2776</v>
      </c>
      <c r="D589" s="1855" t="s">
        <v>887</v>
      </c>
      <c r="E589" s="1855"/>
      <c r="F589" s="1855"/>
      <c r="I589" s="490"/>
    </row>
    <row r="590" spans="1:9">
      <c r="A590" s="490"/>
      <c r="B590" s="490"/>
      <c r="D590" s="476"/>
      <c r="I590" s="490"/>
    </row>
    <row r="591" spans="1:9">
      <c r="A591" s="490"/>
      <c r="B591" s="485" t="s">
        <v>2776</v>
      </c>
      <c r="D591" s="1855" t="s">
        <v>2020</v>
      </c>
      <c r="E591" s="1855"/>
      <c r="F591" s="1855"/>
      <c r="I591" s="490"/>
    </row>
    <row r="592" spans="1:9">
      <c r="A592" s="490"/>
      <c r="B592" s="490"/>
      <c r="D592" s="1855"/>
      <c r="E592" s="1855"/>
      <c r="F592" s="1855"/>
      <c r="I592" s="490"/>
    </row>
    <row r="593" spans="1:9">
      <c r="A593" s="490"/>
      <c r="B593" s="490"/>
      <c r="D593" s="1855"/>
      <c r="E593" s="1855"/>
      <c r="F593" s="1855"/>
      <c r="I593" s="490"/>
    </row>
    <row r="594" spans="1:9">
      <c r="A594" s="490"/>
      <c r="B594" s="490"/>
      <c r="D594" s="1855"/>
      <c r="E594" s="1855"/>
      <c r="F594" s="1855"/>
      <c r="I594" s="490"/>
    </row>
    <row r="595" spans="1:9">
      <c r="A595" s="490"/>
      <c r="B595" s="485" t="s">
        <v>2765</v>
      </c>
      <c r="D595" s="1855" t="s">
        <v>1067</v>
      </c>
      <c r="E595" s="1855"/>
      <c r="F595" s="1855"/>
      <c r="I595" s="490"/>
    </row>
    <row r="596" spans="1:9">
      <c r="A596" s="490"/>
      <c r="B596" s="490"/>
      <c r="D596" s="1855"/>
      <c r="E596" s="1855"/>
      <c r="F596" s="1855"/>
      <c r="I596" s="490"/>
    </row>
    <row r="597" spans="1:9">
      <c r="A597" s="490"/>
      <c r="B597" s="490"/>
      <c r="D597" s="1855"/>
      <c r="E597" s="1855"/>
      <c r="F597" s="1855"/>
      <c r="I597" s="490"/>
    </row>
    <row r="598" spans="1:9">
      <c r="A598" s="490"/>
      <c r="B598" s="490"/>
      <c r="D598" s="1855"/>
      <c r="E598" s="1855"/>
      <c r="F598" s="1855"/>
      <c r="I598" s="490"/>
    </row>
    <row r="599" spans="1:9">
      <c r="A599" s="490"/>
      <c r="B599" s="490"/>
      <c r="D599" s="440"/>
      <c r="E599" s="440"/>
      <c r="F599" s="440"/>
      <c r="I599" s="490"/>
    </row>
    <row r="600" spans="1:9">
      <c r="A600" s="490"/>
      <c r="B600" s="485" t="s">
        <v>2776</v>
      </c>
      <c r="D600" s="1855" t="s">
        <v>2021</v>
      </c>
      <c r="E600" s="1855"/>
      <c r="F600" s="1855"/>
      <c r="I600" s="490"/>
    </row>
    <row r="601" spans="1:9">
      <c r="A601" s="490"/>
      <c r="B601" s="490"/>
      <c r="D601" s="1855"/>
      <c r="E601" s="1855"/>
      <c r="F601" s="1855"/>
      <c r="I601" s="490"/>
    </row>
    <row r="602" spans="1:9">
      <c r="A602" s="490"/>
      <c r="B602" s="490"/>
      <c r="D602" s="499"/>
      <c r="I602" s="490"/>
    </row>
    <row r="603" spans="1:9">
      <c r="A603" s="490"/>
      <c r="B603" s="485" t="s">
        <v>2765</v>
      </c>
      <c r="D603" s="1855" t="s">
        <v>1068</v>
      </c>
      <c r="E603" s="1855"/>
      <c r="F603" s="1855"/>
      <c r="I603" s="490"/>
    </row>
    <row r="604" spans="1:9">
      <c r="A604" s="490"/>
      <c r="B604" s="490"/>
      <c r="D604" s="1855"/>
      <c r="E604" s="1855"/>
      <c r="F604" s="1855"/>
      <c r="I604" s="490"/>
    </row>
    <row r="605" spans="1:9" ht="14.25">
      <c r="A605" s="484"/>
      <c r="B605" s="484"/>
      <c r="D605" s="499"/>
      <c r="I605" s="490"/>
    </row>
    <row r="606" spans="1:9">
      <c r="A606" s="1840" t="s">
        <v>1054</v>
      </c>
      <c r="B606" s="1840"/>
      <c r="C606" s="1840"/>
      <c r="D606" s="1840"/>
      <c r="E606" s="1840"/>
      <c r="F606" s="1840"/>
      <c r="G606" s="1840"/>
      <c r="H606" s="1023"/>
      <c r="I606" s="1147"/>
    </row>
    <row r="607" spans="1:9">
      <c r="I607" s="490"/>
    </row>
    <row r="608" spans="1:9">
      <c r="D608" s="1842" t="s">
        <v>1106</v>
      </c>
      <c r="E608" s="1842"/>
      <c r="F608" s="1842"/>
      <c r="I608" s="490"/>
    </row>
    <row r="609" spans="1:9">
      <c r="D609" s="1823" t="s">
        <v>1107</v>
      </c>
      <c r="E609" s="1823"/>
      <c r="F609" s="1823"/>
      <c r="I609" s="490"/>
    </row>
    <row r="610" spans="1:9">
      <c r="D610" s="444"/>
      <c r="I610" s="490"/>
    </row>
    <row r="611" spans="1:9" ht="14.25" customHeight="1">
      <c r="A611" s="484"/>
      <c r="B611" s="485" t="s">
        <v>2776</v>
      </c>
      <c r="D611" s="1856" t="s">
        <v>1879</v>
      </c>
      <c r="E611" s="1856"/>
      <c r="F611" s="1856"/>
      <c r="I611" s="490"/>
    </row>
    <row r="612" spans="1:9">
      <c r="D612" s="1856"/>
      <c r="E612" s="1856"/>
      <c r="F612" s="1856"/>
      <c r="I612" s="490"/>
    </row>
    <row r="613" spans="1:9">
      <c r="D613" s="385"/>
      <c r="E613" s="1031" t="s">
        <v>1880</v>
      </c>
      <c r="F613" s="385"/>
      <c r="I613" s="490"/>
    </row>
    <row r="614" spans="1:9">
      <c r="I614" s="490"/>
    </row>
    <row r="615" spans="1:9">
      <c r="A615" s="1840" t="s">
        <v>1055</v>
      </c>
      <c r="B615" s="1840"/>
      <c r="C615" s="1840"/>
      <c r="D615" s="1840"/>
      <c r="E615" s="1840"/>
      <c r="F615" s="1840"/>
      <c r="G615" s="1840"/>
      <c r="H615" s="1023"/>
      <c r="I615" s="1147"/>
    </row>
    <row r="616" spans="1:9">
      <c r="A616" s="446"/>
      <c r="B616" s="446"/>
      <c r="I616" s="490"/>
    </row>
    <row r="617" spans="1:9">
      <c r="A617" s="482"/>
      <c r="B617" s="482"/>
      <c r="C617" s="482"/>
      <c r="D617" s="1851" t="s">
        <v>1108</v>
      </c>
      <c r="E617" s="1851"/>
      <c r="F617" s="1851"/>
      <c r="I617" s="490"/>
    </row>
    <row r="618" spans="1:9">
      <c r="A618" s="482"/>
      <c r="B618" s="482"/>
      <c r="C618" s="482"/>
      <c r="D618" s="1851"/>
      <c r="E618" s="1851"/>
      <c r="F618" s="1851"/>
      <c r="I618" s="490"/>
    </row>
    <row r="619" spans="1:9">
      <c r="C619" s="483"/>
      <c r="D619" s="1823" t="s">
        <v>1109</v>
      </c>
      <c r="E619" s="1823"/>
      <c r="F619" s="1823"/>
      <c r="I619" s="490"/>
    </row>
    <row r="620" spans="1:9">
      <c r="C620" s="483"/>
      <c r="D620" s="444"/>
      <c r="E620" s="444"/>
      <c r="F620" s="444"/>
      <c r="I620" s="490"/>
    </row>
    <row r="621" spans="1:9">
      <c r="B621" s="485" t="s">
        <v>2776</v>
      </c>
      <c r="C621" s="483"/>
      <c r="D621" s="1822" t="s">
        <v>2591</v>
      </c>
      <c r="E621" s="1822"/>
      <c r="F621" s="1822"/>
      <c r="I621" s="490"/>
    </row>
    <row r="622" spans="1:9">
      <c r="C622" s="483"/>
      <c r="D622" s="444"/>
      <c r="E622" s="444"/>
      <c r="F622" s="444"/>
      <c r="I622" s="490"/>
    </row>
    <row r="623" spans="1:9" ht="12.75" customHeight="1">
      <c r="A623" s="490"/>
      <c r="B623" s="485" t="s">
        <v>2776</v>
      </c>
      <c r="D623" s="1838" t="s">
        <v>1110</v>
      </c>
      <c r="E623" s="1838"/>
      <c r="F623" s="1838"/>
      <c r="I623" s="490"/>
    </row>
    <row r="624" spans="1:9">
      <c r="D624" s="1838"/>
      <c r="E624" s="1838"/>
      <c r="F624" s="1838"/>
      <c r="I624" s="490"/>
    </row>
    <row r="625" spans="1:9">
      <c r="I625" s="490"/>
    </row>
    <row r="626" spans="1:9">
      <c r="B626" s="485" t="s">
        <v>2776</v>
      </c>
      <c r="D626" s="1838" t="s">
        <v>1111</v>
      </c>
      <c r="E626" s="1838"/>
      <c r="F626" s="1838"/>
      <c r="I626" s="490"/>
    </row>
    <row r="627" spans="1:9">
      <c r="C627" s="500"/>
      <c r="D627" s="1838"/>
      <c r="E627" s="1838"/>
      <c r="F627" s="1838"/>
      <c r="I627" s="490"/>
    </row>
    <row r="628" spans="1:9">
      <c r="C628" s="500"/>
      <c r="I628" s="490"/>
    </row>
    <row r="629" spans="1:9">
      <c r="B629" s="485" t="s">
        <v>2765</v>
      </c>
      <c r="C629" s="500"/>
      <c r="D629" s="1838" t="s">
        <v>1112</v>
      </c>
      <c r="E629" s="1838"/>
      <c r="F629" s="1838"/>
      <c r="I629" s="490"/>
    </row>
    <row r="630" spans="1:9">
      <c r="C630" s="500"/>
      <c r="D630" s="1838"/>
      <c r="E630" s="1838"/>
      <c r="F630" s="1838"/>
      <c r="I630" s="500"/>
    </row>
    <row r="631" spans="1:9">
      <c r="C631" s="500"/>
      <c r="I631" s="490"/>
    </row>
    <row r="632" spans="1:9">
      <c r="B632" s="485" t="s">
        <v>2765</v>
      </c>
      <c r="C632" s="500"/>
      <c r="D632" s="1822" t="s">
        <v>2540</v>
      </c>
      <c r="E632" s="1822"/>
      <c r="F632" s="1822"/>
      <c r="I632" s="490"/>
    </row>
    <row r="633" spans="1:9">
      <c r="C633" s="500"/>
      <c r="I633" s="490"/>
    </row>
    <row r="634" spans="1:9">
      <c r="A634" s="1840" t="s">
        <v>1056</v>
      </c>
      <c r="B634" s="1840"/>
      <c r="C634" s="1840"/>
      <c r="D634" s="1840"/>
      <c r="E634" s="1840"/>
      <c r="F634" s="1840"/>
      <c r="G634" s="1840"/>
      <c r="H634" s="1023"/>
      <c r="I634" s="1147"/>
    </row>
    <row r="635" spans="1:9">
      <c r="A635" s="482"/>
      <c r="B635" s="482"/>
      <c r="C635" s="482"/>
      <c r="I635" s="490"/>
    </row>
    <row r="636" spans="1:9">
      <c r="C636" s="490"/>
      <c r="D636" s="1842" t="s">
        <v>1113</v>
      </c>
      <c r="E636" s="1842"/>
      <c r="F636" s="1842"/>
      <c r="I636" s="490"/>
    </row>
    <row r="637" spans="1:9">
      <c r="A637" s="490"/>
      <c r="B637" s="490"/>
      <c r="D637" s="404"/>
      <c r="I637" s="490"/>
    </row>
    <row r="638" spans="1:9" ht="14.25" customHeight="1">
      <c r="A638" s="484"/>
      <c r="B638" s="485" t="s">
        <v>2776</v>
      </c>
      <c r="D638" s="1856" t="s">
        <v>2022</v>
      </c>
      <c r="E638" s="1856"/>
      <c r="F638" s="1856"/>
      <c r="I638" s="490"/>
    </row>
    <row r="639" spans="1:9">
      <c r="D639" s="1856"/>
      <c r="E639" s="1856"/>
      <c r="F639" s="1856"/>
      <c r="I639" s="490"/>
    </row>
    <row r="640" spans="1:9">
      <c r="D640" s="385"/>
      <c r="E640" s="1031" t="s">
        <v>1882</v>
      </c>
      <c r="F640" s="385"/>
      <c r="I640" s="490"/>
    </row>
    <row r="641" spans="1:9">
      <c r="D641" s="1839" t="s">
        <v>1881</v>
      </c>
      <c r="E641" s="1839"/>
      <c r="F641" s="1839"/>
      <c r="I641" s="490"/>
    </row>
    <row r="642" spans="1:9">
      <c r="D642" s="1839"/>
      <c r="E642" s="1839"/>
      <c r="F642" s="1839"/>
      <c r="I642" s="490"/>
    </row>
    <row r="643" spans="1:9">
      <c r="D643" s="1839"/>
      <c r="E643" s="1839"/>
      <c r="F643" s="1839"/>
      <c r="I643" s="490"/>
    </row>
    <row r="644" spans="1:9">
      <c r="D644" s="445"/>
      <c r="E644" s="445"/>
      <c r="F644" s="445"/>
      <c r="I644" s="490"/>
    </row>
    <row r="645" spans="1:9" ht="14.25">
      <c r="A645" s="484"/>
      <c r="B645" s="485" t="s">
        <v>2765</v>
      </c>
      <c r="D645" s="1839" t="s">
        <v>1114</v>
      </c>
      <c r="E645" s="1839"/>
      <c r="F645" s="1839"/>
      <c r="I645" s="490"/>
    </row>
    <row r="646" spans="1:9">
      <c r="A646" s="487"/>
      <c r="B646" s="487"/>
      <c r="C646" s="487"/>
      <c r="D646" s="1839"/>
      <c r="E646" s="1839"/>
      <c r="F646" s="1839"/>
      <c r="I646" s="490"/>
    </row>
    <row r="647" spans="1:9">
      <c r="A647" s="487"/>
      <c r="B647" s="487"/>
      <c r="C647" s="487"/>
      <c r="D647" s="446"/>
      <c r="E647" s="446"/>
      <c r="F647" s="446"/>
      <c r="I647" s="490"/>
    </row>
    <row r="648" spans="1:9" ht="14.25">
      <c r="A648" s="484"/>
      <c r="B648" s="485" t="s">
        <v>2765</v>
      </c>
      <c r="C648" s="487"/>
      <c r="D648" s="1839" t="s">
        <v>1224</v>
      </c>
      <c r="E648" s="1839"/>
      <c r="F648" s="1839"/>
      <c r="I648" s="490"/>
    </row>
    <row r="649" spans="1:9" ht="14.25">
      <c r="A649" s="484"/>
      <c r="B649" s="484"/>
      <c r="C649" s="487"/>
      <c r="D649" s="1839"/>
      <c r="E649" s="1839"/>
      <c r="F649" s="1839"/>
      <c r="I649" s="490"/>
    </row>
    <row r="650" spans="1:9" ht="14.25">
      <c r="A650" s="484"/>
      <c r="B650" s="484"/>
      <c r="C650" s="487"/>
      <c r="D650" s="1839"/>
      <c r="E650" s="1839"/>
      <c r="F650" s="1839"/>
      <c r="I650" s="490"/>
    </row>
    <row r="651" spans="1:9">
      <c r="A651" s="487"/>
      <c r="B651" s="485" t="s">
        <v>2765</v>
      </c>
      <c r="C651" s="487"/>
      <c r="D651" s="1841" t="s">
        <v>1115</v>
      </c>
      <c r="E651" s="1841"/>
      <c r="F651" s="1841"/>
      <c r="I651" s="490"/>
    </row>
    <row r="652" spans="1:9">
      <c r="A652" s="487"/>
      <c r="B652" s="487"/>
      <c r="C652" s="487"/>
      <c r="D652" s="446"/>
      <c r="E652" s="446"/>
      <c r="F652" s="446"/>
      <c r="I652" s="490"/>
    </row>
    <row r="653" spans="1:9">
      <c r="A653" s="1840" t="s">
        <v>1057</v>
      </c>
      <c r="B653" s="1840"/>
      <c r="C653" s="1840"/>
      <c r="D653" s="1840"/>
      <c r="E653" s="1840"/>
      <c r="F653" s="1840"/>
      <c r="G653" s="1840"/>
      <c r="H653" s="1023"/>
      <c r="I653" s="1147"/>
    </row>
    <row r="654" spans="1:9">
      <c r="A654" s="446"/>
      <c r="B654" s="446"/>
      <c r="C654" s="487"/>
      <c r="D654" s="446"/>
      <c r="E654" s="446"/>
      <c r="F654" s="446"/>
      <c r="I654" s="490"/>
    </row>
    <row r="655" spans="1:9">
      <c r="C655" s="482"/>
      <c r="D655" s="1842" t="s">
        <v>1145</v>
      </c>
      <c r="E655" s="1842"/>
      <c r="F655" s="1842"/>
      <c r="I655" s="490"/>
    </row>
    <row r="656" spans="1:9">
      <c r="A656" s="483"/>
      <c r="B656" s="483"/>
      <c r="C656" s="483"/>
      <c r="D656" s="1841" t="s">
        <v>1146</v>
      </c>
      <c r="E656" s="1841"/>
      <c r="F656" s="1841"/>
      <c r="I656" s="490"/>
    </row>
    <row r="657" spans="1:9">
      <c r="A657" s="483"/>
      <c r="B657" s="483"/>
      <c r="C657" s="483"/>
      <c r="D657" s="446"/>
      <c r="E657" s="446"/>
      <c r="F657" s="446"/>
      <c r="I657" s="490"/>
    </row>
    <row r="658" spans="1:9" ht="12.75" customHeight="1">
      <c r="B658" s="485" t="s">
        <v>2765</v>
      </c>
      <c r="C658" s="487"/>
      <c r="D658" s="1839" t="s">
        <v>1280</v>
      </c>
      <c r="E658" s="1839"/>
      <c r="F658" s="1839"/>
      <c r="I658" s="490"/>
    </row>
    <row r="659" spans="1:9">
      <c r="D659" s="1839"/>
      <c r="E659" s="1839"/>
      <c r="F659" s="1839"/>
      <c r="I659" s="490"/>
    </row>
    <row r="660" spans="1:9">
      <c r="D660" s="1839"/>
      <c r="E660" s="1839"/>
      <c r="F660" s="1839"/>
      <c r="I660" s="490"/>
    </row>
    <row r="661" spans="1:9">
      <c r="D661" s="1839"/>
      <c r="E661" s="1839"/>
      <c r="F661" s="1839"/>
      <c r="I661" s="490"/>
    </row>
    <row r="662" spans="1:9" ht="14.45" customHeight="1">
      <c r="A662" s="484"/>
      <c r="B662" s="484"/>
      <c r="C662" s="487"/>
      <c r="D662" s="385"/>
      <c r="E662" s="385"/>
      <c r="F662" s="385"/>
      <c r="I662" s="490"/>
    </row>
    <row r="663" spans="1:9" ht="12.75" customHeight="1">
      <c r="A663" s="483"/>
      <c r="B663" s="485" t="s">
        <v>2765</v>
      </c>
      <c r="C663" s="487"/>
      <c r="D663" s="1839" t="s">
        <v>1282</v>
      </c>
      <c r="E663" s="1839"/>
      <c r="F663" s="1839"/>
      <c r="I663" s="490"/>
    </row>
    <row r="664" spans="1:9" ht="14.25">
      <c r="A664" s="483"/>
      <c r="B664" s="484"/>
      <c r="C664" s="487"/>
      <c r="D664" s="1839"/>
      <c r="E664" s="1839"/>
      <c r="F664" s="1839"/>
      <c r="I664" s="490"/>
    </row>
    <row r="665" spans="1:9" ht="14.25">
      <c r="A665" s="483"/>
      <c r="B665" s="484"/>
      <c r="C665" s="487"/>
      <c r="D665" s="1839"/>
      <c r="E665" s="1839"/>
      <c r="F665" s="1839"/>
      <c r="I665" s="490"/>
    </row>
    <row r="666" spans="1:9" ht="14.25">
      <c r="A666" s="483"/>
      <c r="B666" s="484"/>
      <c r="C666" s="487"/>
      <c r="D666" s="1839"/>
      <c r="E666" s="1839"/>
      <c r="F666" s="1839"/>
      <c r="I666" s="490"/>
    </row>
    <row r="667" spans="1:9" ht="14.25">
      <c r="A667" s="483"/>
      <c r="B667" s="484"/>
      <c r="C667" s="487"/>
      <c r="D667" s="1839"/>
      <c r="E667" s="1839"/>
      <c r="F667" s="1839"/>
      <c r="I667" s="490"/>
    </row>
    <row r="668" spans="1:9" ht="14.25" customHeight="1">
      <c r="A668" s="483"/>
      <c r="B668" s="484"/>
      <c r="C668" s="487"/>
      <c r="F668" s="386"/>
      <c r="I668" s="490"/>
    </row>
    <row r="669" spans="1:9" ht="12.75" customHeight="1">
      <c r="A669" s="483"/>
      <c r="B669" s="485" t="s">
        <v>2765</v>
      </c>
      <c r="C669" s="487"/>
      <c r="D669" s="1839" t="s">
        <v>1281</v>
      </c>
      <c r="E669" s="1839"/>
      <c r="F669" s="1839"/>
      <c r="I669" s="490"/>
    </row>
    <row r="670" spans="1:9" ht="14.25">
      <c r="A670" s="483"/>
      <c r="B670" s="484"/>
      <c r="C670" s="487"/>
      <c r="D670" s="1839"/>
      <c r="E670" s="1839"/>
      <c r="F670" s="1839"/>
      <c r="I670" s="490"/>
    </row>
    <row r="671" spans="1:9" ht="14.25">
      <c r="A671" s="484"/>
      <c r="B671" s="484"/>
      <c r="C671" s="487"/>
      <c r="D671" s="1839"/>
      <c r="E671" s="1839"/>
      <c r="F671" s="1839"/>
      <c r="I671" s="490"/>
    </row>
    <row r="672" spans="1:9" ht="14.25">
      <c r="A672" s="484"/>
      <c r="B672" s="484"/>
      <c r="C672" s="487"/>
      <c r="D672" s="1839"/>
      <c r="E672" s="1839"/>
      <c r="F672" s="1839"/>
      <c r="I672" s="490"/>
    </row>
    <row r="673" spans="1:11" ht="14.25">
      <c r="A673" s="484"/>
      <c r="B673" s="484"/>
      <c r="C673" s="487"/>
      <c r="D673" s="445"/>
      <c r="E673" s="445"/>
      <c r="F673" s="445"/>
      <c r="I673" s="490"/>
    </row>
    <row r="674" spans="1:11" ht="12.75" customHeight="1">
      <c r="A674" s="483"/>
      <c r="B674" s="485" t="s">
        <v>2765</v>
      </c>
      <c r="C674" s="487"/>
      <c r="D674" s="1839" t="s">
        <v>2023</v>
      </c>
      <c r="E674" s="1839"/>
      <c r="F674" s="1839"/>
      <c r="I674" s="490"/>
    </row>
    <row r="675" spans="1:11" ht="12.75" customHeight="1">
      <c r="A675" s="483"/>
      <c r="B675" s="484"/>
      <c r="C675" s="487"/>
      <c r="D675" s="1839"/>
      <c r="E675" s="1839"/>
      <c r="F675" s="1839"/>
      <c r="I675" s="490"/>
    </row>
    <row r="676" spans="1:11" ht="12.75" customHeight="1">
      <c r="A676" s="483"/>
      <c r="B676" s="484"/>
      <c r="C676" s="487"/>
      <c r="D676" s="1839"/>
      <c r="E676" s="1839"/>
      <c r="F676" s="1839"/>
      <c r="I676" s="490"/>
    </row>
    <row r="677" spans="1:11" ht="12.75" customHeight="1">
      <c r="A677" s="483"/>
      <c r="B677" s="484"/>
      <c r="C677" s="487"/>
      <c r="D677" s="1839"/>
      <c r="E677" s="1839"/>
      <c r="F677" s="1839"/>
      <c r="I677" s="490"/>
    </row>
    <row r="678" spans="1:11" ht="12.75" customHeight="1">
      <c r="A678" s="483"/>
      <c r="B678" s="484"/>
      <c r="C678" s="487"/>
      <c r="D678" s="1839"/>
      <c r="E678" s="1839"/>
      <c r="F678" s="1839"/>
      <c r="I678" s="490"/>
    </row>
    <row r="679" spans="1:11" ht="12.75" customHeight="1">
      <c r="A679" s="483"/>
      <c r="B679" s="484"/>
      <c r="C679" s="487"/>
      <c r="D679" s="1839"/>
      <c r="E679" s="1839"/>
      <c r="F679" s="1839"/>
      <c r="I679" s="490"/>
    </row>
    <row r="680" spans="1:11" ht="12.75" customHeight="1">
      <c r="A680" s="483"/>
      <c r="B680" s="484"/>
      <c r="C680" s="487"/>
      <c r="D680" s="1839"/>
      <c r="E680" s="1839"/>
      <c r="F680" s="1839"/>
      <c r="I680" s="490"/>
    </row>
    <row r="681" spans="1:11" ht="12.75" customHeight="1">
      <c r="A681" s="483"/>
      <c r="B681" s="484"/>
      <c r="C681" s="487"/>
      <c r="D681" s="1839"/>
      <c r="E681" s="1839"/>
      <c r="F681" s="1839"/>
      <c r="I681" s="490"/>
    </row>
    <row r="682" spans="1:11" ht="12.75" customHeight="1">
      <c r="A682" s="483"/>
      <c r="B682" s="484"/>
      <c r="C682" s="487"/>
      <c r="D682" s="1839"/>
      <c r="E682" s="1839"/>
      <c r="F682" s="1839"/>
      <c r="I682" s="490"/>
    </row>
    <row r="683" spans="1:11">
      <c r="A683" s="487"/>
      <c r="B683" s="487"/>
      <c r="C683" s="487"/>
      <c r="D683" s="446"/>
      <c r="E683" s="446"/>
      <c r="F683" s="446"/>
      <c r="I683" s="490"/>
    </row>
    <row r="684" spans="1:11">
      <c r="A684" s="1840" t="s">
        <v>1058</v>
      </c>
      <c r="B684" s="1840"/>
      <c r="C684" s="1840"/>
      <c r="D684" s="1840"/>
      <c r="E684" s="1840"/>
      <c r="F684" s="1840"/>
      <c r="G684" s="1840"/>
      <c r="H684" s="1025"/>
      <c r="I684" s="1151"/>
      <c r="J684" s="501"/>
      <c r="K684" s="501"/>
    </row>
    <row r="685" spans="1:11">
      <c r="A685" s="448"/>
      <c r="B685" s="448"/>
      <c r="C685" s="448"/>
      <c r="D685" s="448"/>
      <c r="E685" s="448"/>
      <c r="F685" s="448"/>
      <c r="G685" s="448"/>
      <c r="H685" s="501"/>
      <c r="I685" s="483"/>
      <c r="J685" s="501"/>
      <c r="K685" s="501"/>
    </row>
    <row r="686" spans="1:11">
      <c r="C686" s="482"/>
      <c r="D686" s="1842" t="s">
        <v>99</v>
      </c>
      <c r="E686" s="1842"/>
      <c r="F686" s="1842"/>
      <c r="H686" s="501"/>
      <c r="I686" s="483"/>
      <c r="J686" s="501"/>
      <c r="K686" s="501"/>
    </row>
    <row r="687" spans="1:11">
      <c r="A687" s="482"/>
      <c r="B687" s="482"/>
      <c r="C687" s="482"/>
      <c r="D687" s="1842" t="s">
        <v>123</v>
      </c>
      <c r="E687" s="1842"/>
      <c r="F687" s="1842"/>
      <c r="H687" s="501"/>
      <c r="I687" s="483"/>
      <c r="J687" s="501"/>
      <c r="K687" s="501"/>
    </row>
    <row r="688" spans="1:11">
      <c r="A688" s="483"/>
      <c r="B688" s="483"/>
      <c r="C688" s="483"/>
      <c r="D688" s="1841" t="s">
        <v>1075</v>
      </c>
      <c r="E688" s="1841"/>
      <c r="F688" s="1841"/>
      <c r="H688" s="501"/>
      <c r="I688" s="483"/>
      <c r="J688" s="501"/>
      <c r="K688" s="501"/>
    </row>
    <row r="689" spans="1:11">
      <c r="A689" s="483"/>
      <c r="B689" s="483"/>
      <c r="C689" s="483"/>
      <c r="H689" s="501"/>
      <c r="I689" s="483"/>
      <c r="J689" s="501"/>
      <c r="K689" s="501"/>
    </row>
    <row r="690" spans="1:11" ht="14.25">
      <c r="A690" s="484"/>
      <c r="B690" s="485" t="s">
        <v>2765</v>
      </c>
      <c r="C690" s="483"/>
      <c r="D690" s="1841" t="s">
        <v>884</v>
      </c>
      <c r="E690" s="1841"/>
      <c r="F690" s="1841"/>
      <c r="H690" s="501"/>
      <c r="I690" s="483"/>
      <c r="J690" s="501"/>
      <c r="K690" s="501"/>
    </row>
    <row r="691" spans="1:11">
      <c r="A691" s="483"/>
      <c r="B691" s="483"/>
      <c r="C691" s="483"/>
      <c r="D691" s="1841" t="s">
        <v>893</v>
      </c>
      <c r="E691" s="1841"/>
      <c r="F691" s="1841"/>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25">
      <c r="A695" s="484"/>
      <c r="B695" s="485" t="s">
        <v>2765</v>
      </c>
      <c r="C695" s="483"/>
      <c r="D695" s="1839" t="s">
        <v>2024</v>
      </c>
      <c r="E695" s="1839"/>
      <c r="F695" s="1839"/>
      <c r="H695" s="501"/>
      <c r="I695" s="483"/>
      <c r="J695" s="501"/>
      <c r="K695" s="501"/>
    </row>
    <row r="696" spans="1:11">
      <c r="A696" s="490"/>
      <c r="B696" s="490"/>
      <c r="C696" s="483"/>
      <c r="D696" s="1839"/>
      <c r="E696" s="1839"/>
      <c r="F696" s="1839"/>
      <c r="H696" s="501"/>
      <c r="I696" s="483"/>
      <c r="J696" s="501"/>
      <c r="K696" s="501"/>
    </row>
    <row r="697" spans="1:11">
      <c r="A697" s="483"/>
      <c r="B697" s="483"/>
      <c r="C697" s="483"/>
      <c r="D697" s="1839"/>
      <c r="E697" s="1839"/>
      <c r="F697" s="1839"/>
      <c r="H697" s="501"/>
      <c r="I697" s="483"/>
      <c r="J697" s="501"/>
      <c r="K697" s="501"/>
    </row>
    <row r="698" spans="1:11">
      <c r="A698" s="483"/>
      <c r="B698" s="483"/>
      <c r="C698" s="483"/>
      <c r="H698" s="501"/>
      <c r="J698" s="501"/>
      <c r="K698" s="501"/>
    </row>
    <row r="699" spans="1:11" ht="14.25">
      <c r="A699" s="484"/>
      <c r="B699" s="485" t="s">
        <v>2765</v>
      </c>
      <c r="C699" s="483"/>
      <c r="D699" s="1841" t="s">
        <v>916</v>
      </c>
      <c r="E699" s="1841"/>
      <c r="F699" s="1841"/>
      <c r="H699" s="501"/>
      <c r="I699" s="483"/>
      <c r="J699" s="501"/>
      <c r="K699" s="501"/>
    </row>
    <row r="700" spans="1:11" ht="14.25">
      <c r="A700" s="484"/>
      <c r="B700" s="484"/>
      <c r="C700" s="483"/>
      <c r="D700" s="1841" t="s">
        <v>893</v>
      </c>
      <c r="E700" s="1841"/>
      <c r="F700" s="1841"/>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25">
      <c r="A703" s="484"/>
      <c r="B703" s="485" t="s">
        <v>2765</v>
      </c>
      <c r="C703" s="483"/>
      <c r="D703" s="1841" t="s">
        <v>2391</v>
      </c>
      <c r="E703" s="1841"/>
      <c r="F703" s="1841"/>
      <c r="H703" s="501"/>
      <c r="I703" s="483"/>
      <c r="J703" s="501"/>
      <c r="K703" s="501"/>
    </row>
    <row r="704" spans="1:11" ht="14.25">
      <c r="A704" s="484"/>
      <c r="B704" s="484"/>
      <c r="C704" s="483"/>
      <c r="D704" s="1841" t="s">
        <v>893</v>
      </c>
      <c r="E704" s="1841"/>
      <c r="F704" s="1841"/>
      <c r="H704" s="501"/>
      <c r="I704" s="483"/>
      <c r="J704" s="501"/>
      <c r="K704" s="501"/>
    </row>
    <row r="705" spans="1:11">
      <c r="A705" s="483"/>
      <c r="B705" s="483"/>
      <c r="C705" s="483"/>
      <c r="E705" s="1031" t="s">
        <v>2392</v>
      </c>
      <c r="F705" s="404"/>
      <c r="H705" s="501"/>
      <c r="I705" s="483"/>
      <c r="J705" s="501"/>
      <c r="K705" s="501"/>
    </row>
    <row r="706" spans="1:11">
      <c r="A706" s="483"/>
      <c r="B706" s="483"/>
      <c r="C706" s="483"/>
      <c r="D706" s="404"/>
      <c r="H706" s="501"/>
      <c r="I706" s="483"/>
      <c r="J706" s="501"/>
      <c r="K706" s="501"/>
    </row>
    <row r="707" spans="1:11" ht="14.25">
      <c r="A707" s="484"/>
      <c r="B707" s="485" t="s">
        <v>2765</v>
      </c>
      <c r="C707" s="483"/>
      <c r="D707" s="1839" t="s">
        <v>2195</v>
      </c>
      <c r="E707" s="1839"/>
      <c r="F707" s="1839"/>
      <c r="H707" s="501"/>
      <c r="I707" s="483"/>
      <c r="J707" s="501"/>
      <c r="K707" s="501"/>
    </row>
    <row r="708" spans="1:11">
      <c r="A708" s="483"/>
      <c r="B708" s="483"/>
      <c r="C708" s="483"/>
      <c r="D708" s="1839"/>
      <c r="E708" s="1839"/>
      <c r="F708" s="1839"/>
      <c r="H708" s="501"/>
      <c r="I708" s="483"/>
      <c r="J708" s="501"/>
      <c r="K708" s="501"/>
    </row>
    <row r="709" spans="1:11">
      <c r="A709" s="483"/>
      <c r="B709" s="483"/>
      <c r="C709" s="483"/>
      <c r="D709" s="1839"/>
      <c r="E709" s="1839"/>
      <c r="F709" s="1839"/>
      <c r="H709" s="501"/>
      <c r="I709" s="483"/>
      <c r="J709" s="501"/>
      <c r="K709" s="501"/>
    </row>
    <row r="710" spans="1:11">
      <c r="A710" s="483"/>
      <c r="B710" s="483"/>
      <c r="C710" s="483"/>
      <c r="D710" s="1839"/>
      <c r="E710" s="1839"/>
      <c r="F710" s="1839"/>
      <c r="H710" s="501"/>
      <c r="I710" s="483"/>
      <c r="J710" s="501"/>
      <c r="K710" s="501"/>
    </row>
    <row r="711" spans="1:11">
      <c r="A711" s="483"/>
      <c r="B711" s="483"/>
      <c r="C711" s="483"/>
      <c r="D711" s="1839"/>
      <c r="E711" s="1839"/>
      <c r="F711" s="1839"/>
      <c r="H711" s="501"/>
      <c r="I711" s="483"/>
      <c r="J711" s="501"/>
      <c r="K711" s="501"/>
    </row>
    <row r="712" spans="1:11">
      <c r="A712" s="483"/>
      <c r="B712" s="483"/>
      <c r="C712" s="483"/>
      <c r="D712" s="1839"/>
      <c r="E712" s="1839"/>
      <c r="F712" s="1839"/>
      <c r="H712" s="501"/>
      <c r="I712" s="483"/>
      <c r="J712" s="501"/>
      <c r="K712" s="501"/>
    </row>
    <row r="713" spans="1:11">
      <c r="A713" s="483"/>
      <c r="B713" s="483"/>
      <c r="C713" s="483"/>
      <c r="D713" s="445"/>
      <c r="E713" s="445"/>
      <c r="F713" s="445"/>
      <c r="H713" s="501"/>
      <c r="I713" s="483"/>
      <c r="J713" s="501"/>
      <c r="K713" s="501"/>
    </row>
    <row r="714" spans="1:11">
      <c r="A714" s="483"/>
      <c r="B714" s="485" t="s">
        <v>2765</v>
      </c>
      <c r="C714" s="483"/>
      <c r="D714" s="1839" t="s">
        <v>1200</v>
      </c>
      <c r="E714" s="1839"/>
      <c r="F714" s="1839"/>
      <c r="H714" s="501"/>
      <c r="I714" s="483"/>
      <c r="J714" s="501"/>
      <c r="K714" s="501"/>
    </row>
    <row r="715" spans="1:11">
      <c r="A715" s="483"/>
      <c r="B715" s="483"/>
      <c r="C715" s="483"/>
      <c r="D715" s="1839"/>
      <c r="E715" s="1839"/>
      <c r="F715" s="1839"/>
      <c r="H715" s="501"/>
      <c r="I715" s="483"/>
      <c r="J715" s="501"/>
      <c r="K715" s="501"/>
    </row>
    <row r="716" spans="1:11">
      <c r="A716" s="483"/>
      <c r="B716" s="483"/>
      <c r="C716" s="483"/>
      <c r="D716" s="445"/>
      <c r="E716" s="445"/>
      <c r="F716" s="445"/>
      <c r="H716" s="501"/>
      <c r="I716" s="483"/>
      <c r="J716" s="501"/>
      <c r="K716" s="501"/>
    </row>
    <row r="717" spans="1:11" ht="14.25">
      <c r="A717" s="484"/>
      <c r="B717" s="485" t="s">
        <v>2765</v>
      </c>
      <c r="C717" s="483"/>
      <c r="D717" s="1839" t="s">
        <v>1076</v>
      </c>
      <c r="E717" s="1839"/>
      <c r="F717" s="1839"/>
      <c r="H717" s="501"/>
      <c r="I717" s="483"/>
      <c r="J717" s="501"/>
      <c r="K717" s="501"/>
    </row>
    <row r="718" spans="1:11">
      <c r="A718" s="483"/>
      <c r="B718" s="483"/>
      <c r="C718" s="483"/>
      <c r="D718" s="1839"/>
      <c r="E718" s="1839"/>
      <c r="F718" s="1839"/>
      <c r="H718" s="501"/>
      <c r="I718" s="483"/>
      <c r="J718" s="501"/>
      <c r="K718" s="501"/>
    </row>
    <row r="719" spans="1:11">
      <c r="A719" s="483"/>
      <c r="B719" s="483"/>
      <c r="C719" s="483"/>
      <c r="D719" s="1839"/>
      <c r="E719" s="1839"/>
      <c r="F719" s="1839"/>
      <c r="H719" s="501"/>
      <c r="I719" s="483"/>
      <c r="J719" s="501"/>
      <c r="K719" s="501"/>
    </row>
    <row r="720" spans="1:11" ht="15" customHeight="1">
      <c r="A720" s="483"/>
      <c r="B720" s="483"/>
      <c r="C720" s="483"/>
      <c r="D720" s="1839"/>
      <c r="E720" s="1839"/>
      <c r="F720" s="1839"/>
      <c r="H720" s="501"/>
      <c r="I720" s="483"/>
      <c r="J720" s="501"/>
      <c r="K720" s="501"/>
    </row>
    <row r="721" spans="1:11" ht="15" customHeight="1">
      <c r="A721" s="483"/>
      <c r="B721" s="483"/>
      <c r="C721" s="483"/>
      <c r="D721" s="1839"/>
      <c r="E721" s="1839"/>
      <c r="F721" s="1839"/>
      <c r="H721" s="501"/>
      <c r="I721" s="483"/>
      <c r="J721" s="501"/>
      <c r="K721" s="501"/>
    </row>
    <row r="722" spans="1:11">
      <c r="A722" s="483"/>
      <c r="B722" s="483"/>
      <c r="C722" s="483"/>
      <c r="D722" s="1839"/>
      <c r="E722" s="1839"/>
      <c r="F722" s="1839"/>
      <c r="H722" s="501"/>
      <c r="I722" s="483"/>
      <c r="J722" s="501"/>
      <c r="K722" s="501"/>
    </row>
    <row r="723" spans="1:11">
      <c r="A723" s="483"/>
      <c r="B723" s="483"/>
      <c r="C723" s="483"/>
      <c r="D723" s="1839"/>
      <c r="E723" s="1839"/>
      <c r="F723" s="1839"/>
      <c r="H723" s="501"/>
      <c r="I723" s="483"/>
      <c r="J723" s="501"/>
      <c r="K723" s="501"/>
    </row>
    <row r="724" spans="1:11">
      <c r="A724" s="483"/>
      <c r="B724" s="483"/>
      <c r="C724" s="483"/>
      <c r="D724" s="1839"/>
      <c r="E724" s="1839"/>
      <c r="F724" s="1839"/>
      <c r="H724" s="501"/>
      <c r="I724" s="483"/>
      <c r="J724" s="501"/>
      <c r="K724" s="501"/>
    </row>
    <row r="725" spans="1:11" ht="15" customHeight="1">
      <c r="A725" s="483"/>
      <c r="B725" s="483"/>
      <c r="C725" s="483"/>
      <c r="D725" s="1839"/>
      <c r="E725" s="1839"/>
      <c r="F725" s="1839"/>
      <c r="H725" s="501"/>
      <c r="I725" s="483"/>
      <c r="J725" s="501"/>
      <c r="K725" s="501"/>
    </row>
    <row r="726" spans="1:11">
      <c r="A726" s="483"/>
      <c r="B726" s="483"/>
      <c r="C726" s="483"/>
      <c r="D726" s="1839"/>
      <c r="E726" s="1839"/>
      <c r="F726" s="1839"/>
      <c r="H726" s="501"/>
      <c r="I726" s="483"/>
      <c r="J726" s="501"/>
      <c r="K726" s="501"/>
    </row>
    <row r="727" spans="1:11">
      <c r="A727" s="483"/>
      <c r="B727" s="483"/>
      <c r="C727" s="483"/>
      <c r="D727" s="1839"/>
      <c r="E727" s="1839"/>
      <c r="F727" s="1839"/>
      <c r="H727" s="501"/>
      <c r="I727" s="483"/>
      <c r="J727" s="501"/>
      <c r="K727" s="501"/>
    </row>
    <row r="728" spans="1:11">
      <c r="A728" s="483"/>
      <c r="B728" s="483"/>
      <c r="C728" s="483"/>
      <c r="D728" s="1839"/>
      <c r="E728" s="1839"/>
      <c r="F728" s="1839"/>
      <c r="H728" s="501"/>
      <c r="I728" s="483"/>
      <c r="J728" s="501"/>
      <c r="K728" s="501"/>
    </row>
    <row r="729" spans="1:11">
      <c r="A729" s="483"/>
      <c r="B729" s="483"/>
      <c r="C729" s="483"/>
      <c r="D729" s="1839"/>
      <c r="E729" s="1839"/>
      <c r="F729" s="1839"/>
      <c r="H729" s="501"/>
      <c r="I729" s="483"/>
      <c r="J729" s="501"/>
      <c r="K729" s="501"/>
    </row>
    <row r="730" spans="1:11">
      <c r="A730" s="483"/>
      <c r="B730" s="485" t="s">
        <v>2765</v>
      </c>
      <c r="C730" s="483"/>
      <c r="D730" s="1839" t="s">
        <v>2384</v>
      </c>
      <c r="E730" s="1839"/>
      <c r="F730" s="1839"/>
      <c r="H730" s="501"/>
      <c r="I730" s="483"/>
      <c r="J730" s="501"/>
      <c r="K730" s="501"/>
    </row>
    <row r="731" spans="1:11">
      <c r="A731" s="483"/>
      <c r="B731" s="483"/>
      <c r="C731" s="483"/>
      <c r="D731" s="1839"/>
      <c r="E731" s="1839"/>
      <c r="F731" s="1839"/>
      <c r="H731" s="501"/>
      <c r="I731" s="483"/>
      <c r="J731" s="501"/>
      <c r="K731" s="501"/>
    </row>
    <row r="732" spans="1:11">
      <c r="A732" s="483"/>
      <c r="B732" s="483"/>
      <c r="C732" s="483"/>
      <c r="D732" s="1839"/>
      <c r="E732" s="1839"/>
      <c r="F732" s="1839"/>
      <c r="H732" s="501"/>
      <c r="I732" s="483"/>
      <c r="J732" s="501"/>
      <c r="K732" s="501"/>
    </row>
    <row r="733" spans="1:11">
      <c r="A733" s="483"/>
      <c r="B733" s="483"/>
      <c r="C733" s="483"/>
      <c r="D733" s="445"/>
      <c r="E733" s="445"/>
      <c r="F733" s="445"/>
      <c r="H733" s="501"/>
      <c r="I733" s="483"/>
      <c r="J733" s="501"/>
      <c r="K733" s="501"/>
    </row>
    <row r="734" spans="1:11">
      <c r="A734" s="483"/>
      <c r="B734" s="485" t="s">
        <v>2765</v>
      </c>
      <c r="C734" s="483"/>
      <c r="D734" s="1839" t="s">
        <v>2383</v>
      </c>
      <c r="E734" s="1839"/>
      <c r="F734" s="1839"/>
      <c r="H734" s="501"/>
      <c r="I734" s="483"/>
      <c r="J734" s="501"/>
      <c r="K734" s="501"/>
    </row>
    <row r="735" spans="1:11">
      <c r="A735" s="483"/>
      <c r="B735" s="483"/>
      <c r="C735" s="483"/>
      <c r="D735" s="1839"/>
      <c r="E735" s="1839"/>
      <c r="F735" s="1839"/>
      <c r="H735" s="501"/>
      <c r="I735" s="483"/>
      <c r="J735" s="501"/>
      <c r="K735" s="501"/>
    </row>
    <row r="736" spans="1:11">
      <c r="A736" s="483"/>
      <c r="B736" s="483"/>
      <c r="C736" s="483"/>
      <c r="D736" s="1839"/>
      <c r="E736" s="1839"/>
      <c r="F736" s="1839"/>
      <c r="H736" s="501"/>
      <c r="I736" s="483"/>
      <c r="J736" s="501"/>
      <c r="K736" s="501"/>
    </row>
    <row r="737" spans="1:11">
      <c r="A737" s="483"/>
      <c r="B737" s="483"/>
      <c r="C737" s="483"/>
      <c r="H737" s="501"/>
      <c r="I737" s="483"/>
      <c r="J737" s="501"/>
      <c r="K737" s="501"/>
    </row>
    <row r="738" spans="1:11">
      <c r="A738" s="483"/>
      <c r="B738" s="485" t="s">
        <v>2765</v>
      </c>
      <c r="C738" s="483"/>
      <c r="D738" s="1839" t="s">
        <v>2382</v>
      </c>
      <c r="E738" s="1839"/>
      <c r="F738" s="1839"/>
      <c r="H738" s="501"/>
      <c r="I738" s="483"/>
      <c r="J738" s="501"/>
      <c r="K738" s="501"/>
    </row>
    <row r="739" spans="1:11">
      <c r="A739" s="483"/>
      <c r="B739" s="483"/>
      <c r="C739" s="483"/>
      <c r="D739" s="1839"/>
      <c r="E739" s="1839"/>
      <c r="F739" s="1839"/>
      <c r="H739" s="501"/>
      <c r="I739" s="483"/>
      <c r="J739" s="501"/>
      <c r="K739" s="501"/>
    </row>
    <row r="740" spans="1:11">
      <c r="A740" s="483"/>
      <c r="B740" s="483"/>
      <c r="C740" s="483"/>
      <c r="D740" s="1839"/>
      <c r="E740" s="1839"/>
      <c r="F740" s="1839"/>
      <c r="H740" s="501"/>
      <c r="I740" s="483"/>
      <c r="J740" s="501"/>
      <c r="K740" s="501"/>
    </row>
    <row r="741" spans="1:11">
      <c r="A741" s="483"/>
      <c r="B741" s="483"/>
      <c r="C741" s="483"/>
      <c r="D741" s="1839"/>
      <c r="E741" s="1839"/>
      <c r="F741" s="1839"/>
      <c r="H741" s="501"/>
      <c r="I741" s="483"/>
      <c r="J741" s="501"/>
      <c r="K741" s="501"/>
    </row>
    <row r="742" spans="1:11">
      <c r="A742" s="483"/>
      <c r="B742" s="483"/>
      <c r="C742" s="483"/>
      <c r="H742" s="501"/>
      <c r="I742" s="483"/>
      <c r="J742" s="501"/>
      <c r="K742" s="501"/>
    </row>
    <row r="743" spans="1:11" ht="14.25">
      <c r="A743" s="484"/>
      <c r="B743" s="485" t="s">
        <v>2765</v>
      </c>
      <c r="C743" s="483"/>
      <c r="D743" s="1839" t="s">
        <v>1077</v>
      </c>
      <c r="E743" s="1839"/>
      <c r="F743" s="1839"/>
      <c r="H743" s="501"/>
      <c r="I743" s="483"/>
      <c r="J743" s="501"/>
      <c r="K743" s="501"/>
    </row>
    <row r="744" spans="1:11">
      <c r="A744" s="483"/>
      <c r="B744" s="483"/>
      <c r="C744" s="483"/>
      <c r="D744" s="1839"/>
      <c r="E744" s="1839"/>
      <c r="F744" s="1839"/>
      <c r="H744" s="501"/>
      <c r="I744" s="483"/>
      <c r="J744" s="501"/>
      <c r="K744" s="501"/>
    </row>
    <row r="745" spans="1:11">
      <c r="A745" s="483"/>
      <c r="B745" s="483"/>
      <c r="C745" s="483"/>
      <c r="D745" s="1839"/>
      <c r="E745" s="1839"/>
      <c r="F745" s="1839"/>
      <c r="H745" s="501"/>
      <c r="I745" s="483"/>
      <c r="J745" s="501"/>
      <c r="K745" s="501"/>
    </row>
    <row r="746" spans="1:11">
      <c r="A746" s="483"/>
      <c r="B746" s="483"/>
      <c r="C746" s="483"/>
      <c r="D746" s="1839"/>
      <c r="E746" s="1839"/>
      <c r="F746" s="1839"/>
      <c r="H746" s="501"/>
      <c r="I746" s="483"/>
      <c r="J746" s="501"/>
      <c r="K746" s="501"/>
    </row>
    <row r="747" spans="1:11">
      <c r="A747" s="483"/>
      <c r="B747" s="483"/>
      <c r="C747" s="483"/>
      <c r="D747" s="1839"/>
      <c r="E747" s="1839"/>
      <c r="F747" s="1839"/>
      <c r="H747" s="501"/>
      <c r="I747" s="483"/>
      <c r="J747" s="501"/>
      <c r="K747" s="501"/>
    </row>
    <row r="748" spans="1:11">
      <c r="A748" s="483"/>
      <c r="B748" s="483"/>
      <c r="C748" s="483"/>
      <c r="D748" s="492"/>
      <c r="H748" s="501"/>
      <c r="I748" s="483"/>
      <c r="J748" s="501"/>
      <c r="K748" s="501"/>
    </row>
    <row r="749" spans="1:11" ht="14.25">
      <c r="A749" s="484"/>
      <c r="B749" s="485" t="s">
        <v>2765</v>
      </c>
      <c r="C749" s="483"/>
      <c r="D749" s="1839" t="s">
        <v>2098</v>
      </c>
      <c r="E749" s="1839"/>
      <c r="F749" s="1839"/>
      <c r="H749" s="501"/>
      <c r="I749" s="483"/>
      <c r="J749" s="501"/>
      <c r="K749" s="501"/>
    </row>
    <row r="750" spans="1:11">
      <c r="A750" s="483"/>
      <c r="B750" s="483"/>
      <c r="C750" s="483"/>
      <c r="D750" s="1839"/>
      <c r="E750" s="1839"/>
      <c r="F750" s="1839"/>
      <c r="H750" s="501"/>
      <c r="I750" s="483"/>
      <c r="J750" s="501"/>
      <c r="K750" s="501"/>
    </row>
    <row r="751" spans="1:11">
      <c r="A751" s="483"/>
      <c r="B751" s="483"/>
      <c r="C751" s="483"/>
      <c r="D751" s="1839"/>
      <c r="E751" s="1839"/>
      <c r="F751" s="1839"/>
      <c r="H751" s="501"/>
      <c r="I751" s="483"/>
      <c r="J751" s="501"/>
      <c r="K751" s="501"/>
    </row>
    <row r="752" spans="1:11">
      <c r="A752" s="483"/>
      <c r="B752" s="483"/>
      <c r="C752" s="483"/>
      <c r="D752" s="1839"/>
      <c r="E752" s="1839"/>
      <c r="F752" s="1839"/>
      <c r="H752" s="501"/>
      <c r="I752" s="483"/>
      <c r="J752" s="501"/>
      <c r="K752" s="501"/>
    </row>
    <row r="753" spans="1:11">
      <c r="A753" s="483"/>
      <c r="B753" s="483"/>
      <c r="C753" s="483"/>
      <c r="D753" s="1839"/>
      <c r="E753" s="1839"/>
      <c r="F753" s="1839"/>
      <c r="H753" s="501"/>
      <c r="I753" s="483"/>
      <c r="J753" s="501"/>
      <c r="K753" s="501"/>
    </row>
    <row r="754" spans="1:11">
      <c r="A754" s="483"/>
      <c r="B754" s="483"/>
      <c r="C754" s="483"/>
      <c r="D754" s="1839"/>
      <c r="E754" s="1839"/>
      <c r="F754" s="1839"/>
      <c r="H754" s="501"/>
      <c r="I754" s="483"/>
      <c r="J754" s="501"/>
      <c r="K754" s="501"/>
    </row>
    <row r="755" spans="1:11">
      <c r="A755" s="483"/>
      <c r="B755" s="483"/>
      <c r="C755" s="483"/>
      <c r="D755" s="1839"/>
      <c r="E755" s="1839"/>
      <c r="F755" s="1839"/>
      <c r="H755" s="501"/>
      <c r="I755" s="483"/>
      <c r="J755" s="501"/>
      <c r="K755" s="501"/>
    </row>
    <row r="756" spans="1:11">
      <c r="A756" s="483"/>
      <c r="B756" s="483"/>
      <c r="C756" s="483"/>
      <c r="D756" s="1844" t="s">
        <v>2601</v>
      </c>
      <c r="E756" s="1844"/>
      <c r="F756" s="1844"/>
      <c r="H756" s="501"/>
      <c r="I756" s="483"/>
      <c r="J756" s="501"/>
      <c r="K756" s="501"/>
    </row>
    <row r="757" spans="1:11">
      <c r="A757" s="483"/>
      <c r="B757" s="483"/>
      <c r="C757" s="483"/>
      <c r="D757" s="341"/>
      <c r="H757" s="501"/>
      <c r="I757" s="483"/>
      <c r="J757" s="501"/>
      <c r="K757" s="501"/>
    </row>
    <row r="758" spans="1:11">
      <c r="A758" s="1843" t="s">
        <v>1059</v>
      </c>
      <c r="B758" s="1843"/>
      <c r="C758" s="1843"/>
      <c r="D758" s="1843"/>
      <c r="E758" s="1843"/>
      <c r="F758" s="1843"/>
      <c r="G758" s="1843"/>
      <c r="H758" s="1025"/>
      <c r="I758" s="1151"/>
      <c r="J758" s="501"/>
      <c r="K758" s="501"/>
    </row>
    <row r="759" spans="1:11">
      <c r="A759" s="483"/>
      <c r="B759" s="483"/>
      <c r="C759" s="483"/>
      <c r="D759" s="492"/>
      <c r="G759" s="501"/>
      <c r="H759" s="501"/>
      <c r="I759" s="483"/>
      <c r="J759" s="501"/>
      <c r="K759" s="501"/>
    </row>
    <row r="760" spans="1:11" ht="13.7" customHeight="1">
      <c r="C760" s="483"/>
      <c r="D760" s="1859" t="s">
        <v>1069</v>
      </c>
      <c r="E760" s="1859"/>
      <c r="F760" s="1859"/>
      <c r="G760" s="501"/>
      <c r="H760" s="501"/>
      <c r="I760" s="483"/>
      <c r="J760" s="501"/>
      <c r="K760" s="501"/>
    </row>
    <row r="761" spans="1:11">
      <c r="A761" s="483"/>
      <c r="B761" s="483"/>
      <c r="C761" s="483"/>
      <c r="D761" s="1845" t="s">
        <v>1070</v>
      </c>
      <c r="E761" s="1845"/>
      <c r="F761" s="1845"/>
      <c r="G761" s="501"/>
      <c r="H761" s="501"/>
      <c r="I761" s="483"/>
      <c r="J761" s="501"/>
      <c r="K761" s="501"/>
    </row>
    <row r="762" spans="1:11">
      <c r="A762" s="483"/>
      <c r="B762" s="483"/>
      <c r="C762" s="483"/>
      <c r="G762" s="501"/>
      <c r="H762" s="501"/>
      <c r="I762" s="483"/>
      <c r="J762" s="501"/>
      <c r="K762" s="501"/>
    </row>
    <row r="763" spans="1:11" ht="14.25">
      <c r="A763" s="484"/>
      <c r="B763" s="485" t="s">
        <v>2776</v>
      </c>
      <c r="D763" s="1839" t="s">
        <v>1071</v>
      </c>
      <c r="E763" s="1839"/>
      <c r="F763" s="1839"/>
      <c r="G763" s="501"/>
      <c r="H763" s="501"/>
      <c r="I763" s="483"/>
      <c r="J763" s="501"/>
      <c r="K763" s="501"/>
    </row>
    <row r="764" spans="1:11" ht="10.5" customHeight="1">
      <c r="D764" s="1839"/>
      <c r="E764" s="1839"/>
      <c r="F764" s="1839"/>
      <c r="G764" s="501"/>
      <c r="H764" s="501"/>
      <c r="I764" s="483"/>
      <c r="J764" s="501"/>
      <c r="K764" s="501"/>
    </row>
    <row r="765" spans="1:11">
      <c r="D765" s="1839"/>
      <c r="E765" s="1839"/>
      <c r="F765" s="1839"/>
      <c r="G765" s="501"/>
      <c r="H765" s="501"/>
      <c r="I765" s="483"/>
      <c r="J765" s="501"/>
      <c r="K765" s="501"/>
    </row>
    <row r="766" spans="1:11">
      <c r="D766" s="1839"/>
      <c r="E766" s="1839"/>
      <c r="F766" s="1839"/>
      <c r="G766" s="501"/>
      <c r="H766" s="501"/>
      <c r="I766" s="483"/>
      <c r="J766" s="501"/>
      <c r="K766" s="501"/>
    </row>
    <row r="767" spans="1:11">
      <c r="D767" s="1839"/>
      <c r="E767" s="1839"/>
      <c r="F767" s="1839"/>
      <c r="G767" s="501"/>
      <c r="H767" s="501"/>
      <c r="I767" s="483"/>
      <c r="J767" s="501"/>
      <c r="K767" s="501"/>
    </row>
    <row r="768" spans="1:11" ht="15.6" customHeight="1">
      <c r="D768" s="1839"/>
      <c r="E768" s="1839"/>
      <c r="F768" s="1839"/>
      <c r="G768" s="501"/>
      <c r="H768" s="501"/>
      <c r="I768" s="483"/>
      <c r="J768" s="501"/>
      <c r="K768" s="501"/>
    </row>
    <row r="769" spans="1:11">
      <c r="D769" s="499"/>
      <c r="E769" s="446"/>
      <c r="F769" s="446"/>
      <c r="G769" s="501"/>
      <c r="H769" s="501"/>
      <c r="I769" s="483"/>
      <c r="J769" s="501"/>
      <c r="K769" s="501"/>
    </row>
    <row r="770" spans="1:11" s="505" customFormat="1" ht="14.25">
      <c r="A770" s="503"/>
      <c r="B770" s="485" t="s">
        <v>2776</v>
      </c>
      <c r="C770" s="504"/>
      <c r="D770" s="1839" t="s">
        <v>1240</v>
      </c>
      <c r="E770" s="1839"/>
      <c r="F770" s="1839"/>
      <c r="I770" s="1152"/>
    </row>
    <row r="771" spans="1:11" s="505" customFormat="1">
      <c r="A771" s="504"/>
      <c r="B771" s="504"/>
      <c r="C771" s="504"/>
      <c r="D771" s="1839"/>
      <c r="E771" s="1839"/>
      <c r="F771" s="1839"/>
      <c r="I771" s="1152"/>
    </row>
    <row r="772" spans="1:11" s="505" customFormat="1">
      <c r="A772" s="504"/>
      <c r="B772" s="504"/>
      <c r="C772" s="504"/>
      <c r="D772" s="1839"/>
      <c r="E772" s="1839"/>
      <c r="F772" s="1839"/>
      <c r="I772" s="1152"/>
    </row>
    <row r="773" spans="1:11" s="505" customFormat="1">
      <c r="A773" s="504"/>
      <c r="B773" s="504"/>
      <c r="C773" s="504"/>
      <c r="D773" s="1839"/>
      <c r="E773" s="1839"/>
      <c r="F773" s="1839"/>
      <c r="I773" s="1152"/>
    </row>
    <row r="774" spans="1:11" s="505" customFormat="1">
      <c r="A774" s="504"/>
      <c r="B774" s="504"/>
      <c r="C774" s="504"/>
      <c r="D774" s="499"/>
      <c r="I774" s="1152"/>
    </row>
    <row r="775" spans="1:11" s="505" customFormat="1" ht="14.25">
      <c r="A775" s="484"/>
      <c r="B775" s="485" t="s">
        <v>2776</v>
      </c>
      <c r="C775" s="504"/>
      <c r="D775" s="1838" t="s">
        <v>1241</v>
      </c>
      <c r="E775" s="1838"/>
      <c r="F775" s="1838"/>
      <c r="I775" s="1152"/>
    </row>
    <row r="776" spans="1:11" s="505" customFormat="1">
      <c r="A776" s="504"/>
      <c r="B776" s="504"/>
      <c r="C776" s="504"/>
      <c r="D776" s="1838"/>
      <c r="E776" s="1838"/>
      <c r="F776" s="1838"/>
      <c r="I776" s="1152"/>
    </row>
    <row r="777" spans="1:11" s="505" customFormat="1">
      <c r="A777" s="504"/>
      <c r="B777" s="504"/>
      <c r="C777" s="504"/>
      <c r="D777" s="1838"/>
      <c r="E777" s="1838"/>
      <c r="F777" s="1838"/>
      <c r="I777" s="1152"/>
    </row>
    <row r="778" spans="1:11">
      <c r="D778" s="499"/>
      <c r="E778" s="446"/>
      <c r="F778" s="446"/>
      <c r="G778" s="501"/>
      <c r="H778" s="501"/>
      <c r="I778" s="483"/>
      <c r="J778" s="501"/>
      <c r="K778" s="501"/>
    </row>
    <row r="779" spans="1:11" ht="14.25">
      <c r="A779" s="484"/>
      <c r="B779" s="485" t="s">
        <v>2765</v>
      </c>
      <c r="D779" s="1839" t="s">
        <v>1197</v>
      </c>
      <c r="E779" s="1839"/>
      <c r="F779" s="1839"/>
      <c r="G779" s="501"/>
      <c r="H779" s="501"/>
      <c r="I779" s="483"/>
      <c r="J779" s="501"/>
      <c r="K779" s="501"/>
    </row>
    <row r="780" spans="1:11">
      <c r="D780" s="1839"/>
      <c r="E780" s="1839"/>
      <c r="F780" s="1839"/>
      <c r="G780" s="501"/>
      <c r="H780" s="501"/>
      <c r="I780" s="483"/>
      <c r="J780" s="501"/>
      <c r="K780" s="501"/>
    </row>
    <row r="781" spans="1:11">
      <c r="D781" s="445"/>
      <c r="E781" s="445"/>
      <c r="F781" s="445"/>
      <c r="G781" s="501"/>
      <c r="H781" s="501"/>
      <c r="I781" s="483"/>
      <c r="J781" s="501"/>
      <c r="K781" s="501"/>
    </row>
    <row r="782" spans="1:11">
      <c r="B782" s="485" t="s">
        <v>2765</v>
      </c>
      <c r="D782" s="1839" t="s">
        <v>1214</v>
      </c>
      <c r="E782" s="1839"/>
      <c r="F782" s="1839"/>
      <c r="G782" s="501"/>
      <c r="H782" s="501"/>
      <c r="I782" s="483"/>
      <c r="J782" s="501"/>
      <c r="K782" s="501"/>
    </row>
    <row r="783" spans="1:11">
      <c r="D783" s="1839"/>
      <c r="E783" s="1839"/>
      <c r="F783" s="1839"/>
      <c r="G783" s="501"/>
      <c r="H783" s="501"/>
      <c r="I783" s="483"/>
      <c r="J783" s="501"/>
      <c r="K783" s="501"/>
    </row>
    <row r="784" spans="1:11">
      <c r="D784" s="1839"/>
      <c r="E784" s="1839"/>
      <c r="F784" s="1839"/>
      <c r="G784" s="501"/>
      <c r="H784" s="501"/>
      <c r="I784" s="483"/>
      <c r="J784" s="501"/>
      <c r="K784" s="501"/>
    </row>
    <row r="785" spans="1:11">
      <c r="D785" s="445"/>
      <c r="E785" s="445"/>
      <c r="F785" s="445"/>
      <c r="G785" s="501"/>
      <c r="H785" s="501"/>
      <c r="I785" s="483"/>
      <c r="J785" s="501"/>
      <c r="K785" s="501"/>
    </row>
    <row r="786" spans="1:11" hidden="1">
      <c r="A786" s="1858" t="s">
        <v>1788</v>
      </c>
      <c r="B786" s="1858"/>
      <c r="C786" s="1858"/>
      <c r="D786" s="1858"/>
      <c r="E786" s="1858"/>
      <c r="F786" s="1858"/>
      <c r="G786" s="1858"/>
      <c r="H786" s="1023"/>
      <c r="I786" s="1147"/>
    </row>
    <row r="787" spans="1:11" hidden="1">
      <c r="A787" s="57"/>
      <c r="B787" s="57"/>
      <c r="C787" s="354"/>
      <c r="D787" s="3"/>
      <c r="E787" s="3"/>
      <c r="F787" s="3"/>
      <c r="G787" s="3"/>
      <c r="I787" s="490"/>
    </row>
    <row r="788" spans="1:11" hidden="1">
      <c r="A788" s="57"/>
      <c r="B788" s="57"/>
      <c r="C788" s="354"/>
      <c r="D788" s="1857" t="s">
        <v>1828</v>
      </c>
      <c r="E788" s="1857"/>
      <c r="F788" s="1857"/>
      <c r="G788" s="3"/>
      <c r="I788" s="490"/>
    </row>
    <row r="789" spans="1:11" hidden="1">
      <c r="A789" s="57"/>
      <c r="B789" s="57"/>
      <c r="C789" s="354"/>
      <c r="D789" s="1849" t="s">
        <v>1742</v>
      </c>
      <c r="E789" s="1849"/>
      <c r="F789" s="1849"/>
      <c r="G789" s="3"/>
      <c r="I789" s="490"/>
    </row>
    <row r="790" spans="1:11" hidden="1">
      <c r="A790" s="57"/>
      <c r="B790" s="57"/>
      <c r="C790" s="354"/>
      <c r="D790" s="447"/>
      <c r="E790" s="447"/>
      <c r="F790" s="447"/>
      <c r="G790" s="3"/>
      <c r="I790" s="490"/>
    </row>
    <row r="791" spans="1:11" hidden="1">
      <c r="A791" s="57"/>
      <c r="B791" s="485" t="s">
        <v>307</v>
      </c>
      <c r="C791" s="354"/>
      <c r="D791" s="1833" t="s">
        <v>1743</v>
      </c>
      <c r="E791" s="1833"/>
      <c r="F791" s="1833"/>
      <c r="G791" s="3"/>
      <c r="I791" s="483"/>
    </row>
    <row r="792" spans="1:11" hidden="1">
      <c r="A792" s="57"/>
      <c r="B792" s="57"/>
      <c r="C792" s="354"/>
      <c r="D792" s="1833"/>
      <c r="E792" s="1833"/>
      <c r="F792" s="1833"/>
      <c r="G792" s="3"/>
      <c r="I792" s="490"/>
    </row>
    <row r="793" spans="1:11" hidden="1">
      <c r="A793" s="174"/>
      <c r="B793" s="174"/>
      <c r="C793" s="174"/>
      <c r="D793" s="1833"/>
      <c r="E793" s="1833"/>
      <c r="F793" s="1833"/>
      <c r="G793" s="118"/>
      <c r="I793" s="490"/>
    </row>
    <row r="794" spans="1:11" hidden="1">
      <c r="A794" s="354"/>
      <c r="B794" s="354"/>
      <c r="C794" s="354"/>
      <c r="D794" s="173"/>
      <c r="E794" s="3"/>
      <c r="F794" s="3"/>
      <c r="G794" s="3"/>
      <c r="I794" s="490"/>
    </row>
    <row r="795" spans="1:11" hidden="1">
      <c r="A795" s="172"/>
      <c r="B795" s="485" t="s">
        <v>307</v>
      </c>
      <c r="C795" s="172"/>
      <c r="D795" s="1833" t="s">
        <v>1744</v>
      </c>
      <c r="E795" s="1833"/>
      <c r="F795" s="1833"/>
      <c r="G795" s="3"/>
      <c r="I795" s="483"/>
    </row>
    <row r="796" spans="1:11" hidden="1">
      <c r="A796" s="172"/>
      <c r="B796" s="172"/>
      <c r="C796" s="172"/>
      <c r="D796" s="1833"/>
      <c r="E796" s="1833"/>
      <c r="F796" s="1833"/>
      <c r="G796" s="3"/>
      <c r="I796" s="490"/>
    </row>
    <row r="797" spans="1:11" hidden="1">
      <c r="A797" s="172"/>
      <c r="B797" s="172"/>
      <c r="C797" s="172"/>
      <c r="D797" s="1833"/>
      <c r="E797" s="1833"/>
      <c r="F797" s="1833"/>
      <c r="G797" s="3"/>
      <c r="I797" s="490"/>
    </row>
    <row r="798" spans="1:11" hidden="1">
      <c r="A798" s="174"/>
      <c r="B798" s="174"/>
      <c r="C798" s="174"/>
      <c r="D798" s="3"/>
      <c r="E798" s="983"/>
      <c r="F798" s="983"/>
      <c r="G798" s="983"/>
      <c r="I798" s="490"/>
    </row>
    <row r="799" spans="1:11" ht="14.25" hidden="1">
      <c r="A799" s="175"/>
      <c r="B799" s="485" t="s">
        <v>307</v>
      </c>
      <c r="C799" s="984"/>
      <c r="D799" s="1833" t="s">
        <v>1745</v>
      </c>
      <c r="E799" s="1833"/>
      <c r="F799" s="1833"/>
      <c r="G799" s="983"/>
      <c r="I799" s="483"/>
    </row>
    <row r="800" spans="1:11" ht="14.25" hidden="1">
      <c r="A800" s="175"/>
      <c r="B800" s="175"/>
      <c r="C800" s="984"/>
      <c r="D800" s="1833"/>
      <c r="E800" s="1833"/>
      <c r="F800" s="1833"/>
      <c r="G800" s="983"/>
      <c r="I800" s="490"/>
    </row>
    <row r="801" spans="1:9" ht="14.25" hidden="1">
      <c r="A801" s="175"/>
      <c r="B801" s="175"/>
      <c r="C801" s="984"/>
      <c r="D801" s="1833"/>
      <c r="E801" s="1833"/>
      <c r="F801" s="1833"/>
      <c r="G801" s="983"/>
      <c r="I801" s="490"/>
    </row>
    <row r="802" spans="1:9" ht="14.25" hidden="1">
      <c r="A802" s="175"/>
      <c r="B802" s="175"/>
      <c r="C802" s="984"/>
      <c r="D802" s="118"/>
      <c r="E802" s="3"/>
      <c r="F802" s="3"/>
      <c r="G802" s="983"/>
      <c r="I802" s="490"/>
    </row>
    <row r="803" spans="1:9" ht="14.25" hidden="1">
      <c r="A803" s="175"/>
      <c r="B803" s="485" t="s">
        <v>307</v>
      </c>
      <c r="C803" s="984"/>
      <c r="D803" s="1833" t="s">
        <v>1746</v>
      </c>
      <c r="E803" s="1833"/>
      <c r="F803" s="1833"/>
      <c r="G803" s="983"/>
      <c r="I803" s="483"/>
    </row>
    <row r="804" spans="1:9" ht="14.25" hidden="1">
      <c r="A804" s="175"/>
      <c r="B804" s="175"/>
      <c r="C804" s="984"/>
      <c r="D804" s="1833"/>
      <c r="E804" s="1833"/>
      <c r="F804" s="1833"/>
      <c r="G804" s="983"/>
      <c r="I804" s="490"/>
    </row>
    <row r="805" spans="1:9" ht="14.25" hidden="1">
      <c r="A805" s="175"/>
      <c r="B805" s="175"/>
      <c r="C805" s="984"/>
      <c r="D805" s="1833"/>
      <c r="E805" s="1833"/>
      <c r="F805" s="1833"/>
      <c r="G805" s="983"/>
      <c r="I805" s="490"/>
    </row>
    <row r="806" spans="1:9" ht="14.25" hidden="1">
      <c r="A806" s="175"/>
      <c r="B806" s="175"/>
      <c r="C806" s="984"/>
      <c r="D806" s="1833"/>
      <c r="E806" s="1833"/>
      <c r="F806" s="1833"/>
      <c r="G806" s="983"/>
      <c r="I806" s="490"/>
    </row>
    <row r="807" spans="1:9" ht="14.25" hidden="1">
      <c r="A807" s="175"/>
      <c r="B807" s="175"/>
      <c r="C807" s="984"/>
      <c r="D807" s="1833"/>
      <c r="E807" s="1833"/>
      <c r="F807" s="1833"/>
      <c r="G807" s="983"/>
      <c r="I807" s="490"/>
    </row>
    <row r="808" spans="1:9" ht="14.25" hidden="1">
      <c r="A808" s="175"/>
      <c r="B808" s="175"/>
      <c r="C808" s="984"/>
      <c r="D808" s="1833"/>
      <c r="E808" s="1833"/>
      <c r="F808" s="1833"/>
      <c r="G808" s="983"/>
      <c r="I808" s="490"/>
    </row>
    <row r="809" spans="1:9" ht="14.25" hidden="1">
      <c r="A809" s="175"/>
      <c r="B809" s="175"/>
      <c r="C809" s="984"/>
      <c r="D809" s="1833" t="s">
        <v>1789</v>
      </c>
      <c r="E809" s="1833"/>
      <c r="F809" s="1833"/>
      <c r="G809" s="983"/>
      <c r="I809" s="490"/>
    </row>
    <row r="810" spans="1:9" ht="14.25" hidden="1">
      <c r="A810" s="175"/>
      <c r="B810" s="175"/>
      <c r="C810" s="984"/>
      <c r="D810" s="1833"/>
      <c r="E810" s="1833"/>
      <c r="F810" s="1833"/>
      <c r="G810" s="983"/>
      <c r="I810" s="490"/>
    </row>
    <row r="811" spans="1:9" ht="14.25" hidden="1">
      <c r="A811" s="175"/>
      <c r="B811" s="175"/>
      <c r="C811" s="984"/>
      <c r="D811" s="1833"/>
      <c r="E811" s="1833"/>
      <c r="F811" s="1833"/>
      <c r="G811" s="983"/>
      <c r="I811" s="490"/>
    </row>
    <row r="812" spans="1:9" ht="14.25" hidden="1">
      <c r="A812" s="175"/>
      <c r="B812" s="354"/>
      <c r="C812" s="984"/>
      <c r="D812" s="985"/>
      <c r="E812" s="985"/>
      <c r="F812" s="985"/>
      <c r="G812" s="983"/>
      <c r="I812" s="490"/>
    </row>
    <row r="813" spans="1:9" ht="14.25" hidden="1">
      <c r="A813" s="175"/>
      <c r="B813" s="485" t="s">
        <v>307</v>
      </c>
      <c r="C813" s="984"/>
      <c r="D813" s="1833" t="s">
        <v>1747</v>
      </c>
      <c r="E813" s="1833"/>
      <c r="F813" s="1833"/>
      <c r="G813" s="983"/>
      <c r="I813" s="483"/>
    </row>
    <row r="814" spans="1:9" ht="14.25" hidden="1">
      <c r="A814" s="175"/>
      <c r="B814" s="175"/>
      <c r="C814" s="984"/>
      <c r="D814" s="1833"/>
      <c r="E814" s="1833"/>
      <c r="F814" s="1833"/>
      <c r="G814" s="983"/>
      <c r="I814" s="490"/>
    </row>
    <row r="815" spans="1:9" ht="14.25" hidden="1">
      <c r="A815" s="175"/>
      <c r="B815" s="175"/>
      <c r="C815" s="984"/>
      <c r="D815" s="1833"/>
      <c r="E815" s="1833"/>
      <c r="F815" s="1833"/>
      <c r="G815" s="983"/>
      <c r="I815" s="490"/>
    </row>
    <row r="816" spans="1:9" ht="14.25" hidden="1">
      <c r="A816" s="175"/>
      <c r="B816" s="175"/>
      <c r="C816" s="984"/>
      <c r="D816" s="1833"/>
      <c r="E816" s="1833"/>
      <c r="F816" s="1833"/>
      <c r="G816" s="983"/>
      <c r="I816" s="490"/>
    </row>
    <row r="817" spans="1:9" ht="14.25" hidden="1">
      <c r="A817" s="175"/>
      <c r="B817" s="175"/>
      <c r="C817" s="984"/>
      <c r="D817" s="1833"/>
      <c r="E817" s="1833"/>
      <c r="F817" s="1833"/>
      <c r="G817" s="983"/>
      <c r="I817" s="490"/>
    </row>
    <row r="818" spans="1:9" ht="14.25" hidden="1">
      <c r="A818" s="175"/>
      <c r="B818" s="175"/>
      <c r="C818" s="984"/>
      <c r="D818" s="1833"/>
      <c r="E818" s="1833"/>
      <c r="F818" s="1833"/>
      <c r="G818" s="983"/>
      <c r="I818" s="490"/>
    </row>
    <row r="819" spans="1:9" ht="14.25" hidden="1">
      <c r="A819" s="175"/>
      <c r="B819" s="175"/>
      <c r="C819" s="984"/>
      <c r="D819" s="977"/>
      <c r="E819" s="977"/>
      <c r="F819" s="977"/>
      <c r="G819" s="983"/>
      <c r="I819" s="490"/>
    </row>
    <row r="820" spans="1:9" ht="14.25" hidden="1">
      <c r="A820" s="175"/>
      <c r="B820" s="485" t="s">
        <v>307</v>
      </c>
      <c r="C820" s="984"/>
      <c r="D820" s="1833" t="s">
        <v>1748</v>
      </c>
      <c r="E820" s="1833"/>
      <c r="F820" s="1833"/>
      <c r="G820" s="983"/>
      <c r="I820" s="483"/>
    </row>
    <row r="821" spans="1:9" ht="14.25" hidden="1">
      <c r="A821" s="175"/>
      <c r="B821" s="175"/>
      <c r="C821" s="984"/>
      <c r="D821" s="1833"/>
      <c r="E821" s="1833"/>
      <c r="F821" s="1833"/>
      <c r="G821" s="983"/>
      <c r="I821" s="490"/>
    </row>
    <row r="822" spans="1:9" ht="14.25" hidden="1">
      <c r="A822" s="175"/>
      <c r="B822" s="175"/>
      <c r="C822" s="984"/>
      <c r="D822" s="1833"/>
      <c r="E822" s="1833"/>
      <c r="F822" s="1833"/>
      <c r="G822" s="983"/>
      <c r="I822" s="490"/>
    </row>
    <row r="823" spans="1:9" ht="14.25" hidden="1">
      <c r="A823" s="175"/>
      <c r="B823" s="175"/>
      <c r="C823" s="984"/>
      <c r="D823" s="1833"/>
      <c r="E823" s="1833"/>
      <c r="F823" s="1833"/>
      <c r="G823" s="983"/>
      <c r="I823" s="490"/>
    </row>
    <row r="824" spans="1:9" ht="14.25" hidden="1">
      <c r="A824" s="175"/>
      <c r="B824" s="175"/>
      <c r="C824" s="984"/>
      <c r="D824" s="1833"/>
      <c r="E824" s="1833"/>
      <c r="F824" s="1833"/>
      <c r="G824" s="983"/>
      <c r="I824" s="490"/>
    </row>
    <row r="825" spans="1:9" ht="14.25" hidden="1">
      <c r="A825" s="175"/>
      <c r="B825" s="175"/>
      <c r="C825" s="984"/>
      <c r="D825" s="1833"/>
      <c r="E825" s="1833"/>
      <c r="F825" s="1833"/>
      <c r="G825" s="983"/>
      <c r="I825" s="490"/>
    </row>
    <row r="826" spans="1:9" ht="14.25" hidden="1">
      <c r="A826" s="175"/>
      <c r="B826" s="175"/>
      <c r="C826" s="984"/>
      <c r="D826" s="977"/>
      <c r="E826" s="977"/>
      <c r="F826" s="977"/>
      <c r="G826" s="983"/>
      <c r="I826" s="490"/>
    </row>
    <row r="827" spans="1:9" ht="14.25" hidden="1">
      <c r="A827" s="175"/>
      <c r="B827" s="485" t="s">
        <v>307</v>
      </c>
      <c r="C827" s="984"/>
      <c r="D827" s="1829" t="s">
        <v>1749</v>
      </c>
      <c r="E827" s="1829"/>
      <c r="F827" s="1829"/>
      <c r="G827" s="983"/>
      <c r="I827" s="483"/>
    </row>
    <row r="828" spans="1:9" ht="14.25" hidden="1">
      <c r="A828" s="175"/>
      <c r="B828" s="175"/>
      <c r="C828" s="984"/>
      <c r="D828" s="1829"/>
      <c r="E828" s="1829"/>
      <c r="F828" s="1829"/>
      <c r="G828" s="983"/>
      <c r="I828" s="490"/>
    </row>
    <row r="829" spans="1:9" hidden="1">
      <c r="A829" s="13"/>
      <c r="B829" s="13"/>
      <c r="C829" s="984"/>
      <c r="D829" s="1829"/>
      <c r="E829" s="1829"/>
      <c r="F829" s="1829"/>
      <c r="G829" s="983"/>
      <c r="I829" s="490"/>
    </row>
    <row r="830" spans="1:9" ht="14.25" hidden="1">
      <c r="A830" s="175"/>
      <c r="B830" s="13"/>
      <c r="C830" s="984"/>
      <c r="D830" s="1829"/>
      <c r="E830" s="1829"/>
      <c r="F830" s="1829"/>
      <c r="G830" s="983"/>
      <c r="I830" s="490"/>
    </row>
    <row r="831" spans="1:9" ht="12.75" hidden="1" customHeight="1">
      <c r="A831" s="175"/>
      <c r="B831" s="13"/>
      <c r="C831" s="984"/>
      <c r="D831" s="1829"/>
      <c r="E831" s="1829"/>
      <c r="F831" s="1829"/>
      <c r="G831" s="983"/>
      <c r="I831" s="490"/>
    </row>
    <row r="832" spans="1:9" ht="12.75" hidden="1" customHeight="1">
      <c r="A832" s="175"/>
      <c r="B832" s="13"/>
      <c r="C832" s="984"/>
      <c r="D832" s="1829"/>
      <c r="E832" s="1829"/>
      <c r="F832" s="1829"/>
      <c r="G832" s="983"/>
      <c r="I832" s="490"/>
    </row>
    <row r="833" spans="1:9" ht="12.75" hidden="1" customHeight="1">
      <c r="A833" s="13"/>
      <c r="B833" s="13"/>
      <c r="C833" s="984"/>
      <c r="D833" s="983"/>
      <c r="E833" s="3"/>
      <c r="F833" s="3"/>
      <c r="G833" s="983"/>
      <c r="I833" s="490"/>
    </row>
    <row r="834" spans="1:9" ht="12.75" customHeight="1">
      <c r="A834" s="1827" t="s">
        <v>1750</v>
      </c>
      <c r="B834" s="1827"/>
      <c r="C834" s="1827"/>
      <c r="D834" s="1827"/>
      <c r="E834" s="1827"/>
      <c r="F834" s="1827"/>
      <c r="G834" s="1827"/>
      <c r="H834" s="1023"/>
      <c r="I834" s="1147"/>
    </row>
    <row r="835" spans="1:9" ht="12.75" customHeight="1">
      <c r="A835" s="172"/>
      <c r="B835" s="172"/>
      <c r="C835" s="984"/>
      <c r="D835" s="983"/>
      <c r="E835" s="983"/>
      <c r="F835" s="983"/>
      <c r="G835" s="983"/>
      <c r="I835" s="490"/>
    </row>
    <row r="836" spans="1:9" ht="12.75" customHeight="1">
      <c r="A836" s="175"/>
      <c r="B836" s="175"/>
      <c r="C836" s="354"/>
      <c r="D836" s="1847" t="s">
        <v>1790</v>
      </c>
      <c r="E836" s="1847"/>
      <c r="F836" s="1847"/>
      <c r="G836" s="3"/>
      <c r="I836" s="490"/>
    </row>
    <row r="837" spans="1:9" ht="14.25" customHeight="1">
      <c r="A837" s="175"/>
      <c r="B837" s="175"/>
      <c r="C837" s="354"/>
      <c r="D837" s="1422" t="s">
        <v>1751</v>
      </c>
      <c r="E837" s="1422"/>
      <c r="F837" s="1422"/>
      <c r="G837" s="3"/>
      <c r="I837" s="490"/>
    </row>
    <row r="838" spans="1:9" ht="12.75" customHeight="1">
      <c r="A838" s="175"/>
      <c r="B838" s="175"/>
      <c r="C838" s="354"/>
      <c r="D838" s="441"/>
      <c r="E838" s="441"/>
      <c r="F838" s="441"/>
      <c r="G838" s="3"/>
      <c r="I838" s="490"/>
    </row>
    <row r="839" spans="1:9" ht="12.75" customHeight="1">
      <c r="A839" s="354"/>
      <c r="B839" s="485" t="s">
        <v>2776</v>
      </c>
      <c r="C839" s="984"/>
      <c r="D839" s="1422" t="s">
        <v>1752</v>
      </c>
      <c r="E839" s="1422"/>
      <c r="F839" s="1422"/>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48" t="s">
        <v>2030</v>
      </c>
      <c r="E842" s="1848"/>
      <c r="F842" s="1848"/>
      <c r="G842" s="3"/>
      <c r="I842" s="490"/>
    </row>
    <row r="843" spans="1:9" ht="12.75" hidden="1" customHeight="1">
      <c r="A843" s="13"/>
      <c r="B843" s="13"/>
      <c r="C843" s="984"/>
      <c r="D843" s="1848"/>
      <c r="E843" s="1848"/>
      <c r="F843" s="1848"/>
      <c r="G843" s="3"/>
      <c r="I843" s="490"/>
    </row>
    <row r="844" spans="1:9" ht="12.75" hidden="1" customHeight="1">
      <c r="A844" s="13"/>
      <c r="B844" s="13"/>
      <c r="C844" s="984"/>
      <c r="D844" s="1848"/>
      <c r="E844" s="1848"/>
      <c r="F844" s="1848"/>
      <c r="G844" s="3"/>
      <c r="I844" s="490"/>
    </row>
    <row r="845" spans="1:9" ht="12.75" hidden="1" customHeight="1">
      <c r="A845" s="13"/>
      <c r="B845" s="13"/>
      <c r="C845" s="984"/>
      <c r="D845" s="1848"/>
      <c r="E845" s="1848"/>
      <c r="F845" s="1848"/>
      <c r="G845" s="3"/>
      <c r="I845" s="490"/>
    </row>
    <row r="846" spans="1:9" ht="12.75" hidden="1" customHeight="1">
      <c r="A846" s="13"/>
      <c r="B846" s="13"/>
      <c r="C846" s="984"/>
      <c r="D846" s="1848"/>
      <c r="E846" s="1848"/>
      <c r="F846" s="1848"/>
      <c r="G846" s="3"/>
      <c r="I846" s="490"/>
    </row>
    <row r="847" spans="1:9" ht="12.75" hidden="1" customHeight="1">
      <c r="A847" s="13"/>
      <c r="B847" s="13"/>
      <c r="C847" s="984"/>
      <c r="D847" s="1848"/>
      <c r="E847" s="1848"/>
      <c r="F847" s="1848"/>
      <c r="G847" s="3"/>
      <c r="I847" s="490"/>
    </row>
    <row r="848" spans="1:9" ht="12.75" hidden="1" customHeight="1">
      <c r="A848" s="13"/>
      <c r="B848" s="13"/>
      <c r="C848" s="984"/>
      <c r="D848" s="1848"/>
      <c r="E848" s="1848"/>
      <c r="F848" s="1848"/>
      <c r="G848" s="3"/>
      <c r="I848" s="490"/>
    </row>
    <row r="849" spans="1:9" ht="12.75" hidden="1" customHeight="1">
      <c r="A849" s="13"/>
      <c r="B849" s="13"/>
      <c r="C849" s="984"/>
      <c r="D849" s="1848"/>
      <c r="E849" s="1848"/>
      <c r="F849" s="1848"/>
      <c r="G849" s="3"/>
      <c r="I849" s="490"/>
    </row>
    <row r="850" spans="1:9" ht="12.75" hidden="1" customHeight="1">
      <c r="A850" s="13"/>
      <c r="B850" s="13"/>
      <c r="C850" s="984"/>
      <c r="D850" s="1848"/>
      <c r="E850" s="1848"/>
      <c r="F850" s="1848"/>
      <c r="G850" s="3"/>
      <c r="I850" s="490"/>
    </row>
    <row r="851" spans="1:9" ht="12.75" hidden="1" customHeight="1">
      <c r="A851" s="13"/>
      <c r="B851" s="13"/>
      <c r="C851" s="984"/>
      <c r="D851" s="1848"/>
      <c r="E851" s="1848"/>
      <c r="F851" s="1848"/>
      <c r="G851" s="3"/>
      <c r="I851" s="490"/>
    </row>
    <row r="852" spans="1:9" ht="12.75" hidden="1" customHeight="1">
      <c r="A852" s="13"/>
      <c r="B852" s="13"/>
      <c r="C852" s="984"/>
      <c r="D852" s="986"/>
      <c r="E852" s="3"/>
      <c r="F852" s="3"/>
      <c r="G852" s="3"/>
      <c r="I852" s="490"/>
    </row>
    <row r="853" spans="1:9" ht="12.75" customHeight="1">
      <c r="A853" s="175"/>
      <c r="B853" s="485" t="s">
        <v>2776</v>
      </c>
      <c r="C853" s="984"/>
      <c r="D853" s="1422" t="s">
        <v>1753</v>
      </c>
      <c r="E853" s="1422"/>
      <c r="F853" s="1422"/>
      <c r="G853" s="3"/>
      <c r="I853" s="490" t="s">
        <v>1855</v>
      </c>
    </row>
    <row r="854" spans="1:9" ht="12.75" customHeight="1">
      <c r="A854" s="175"/>
      <c r="B854" s="175"/>
      <c r="C854" s="984"/>
      <c r="D854" s="1422"/>
      <c r="E854" s="1422"/>
      <c r="F854" s="1422"/>
      <c r="G854" s="3"/>
      <c r="I854" s="490"/>
    </row>
    <row r="855" spans="1:9" ht="12.75" customHeight="1">
      <c r="A855" s="175"/>
      <c r="B855" s="175"/>
      <c r="C855" s="984"/>
      <c r="D855" s="1422"/>
      <c r="E855" s="1422"/>
      <c r="F855" s="1422"/>
      <c r="G855" s="3"/>
      <c r="I855" s="490"/>
    </row>
    <row r="856" spans="1:9" ht="12.75" customHeight="1">
      <c r="A856" s="175"/>
      <c r="B856" s="175"/>
      <c r="C856" s="984"/>
      <c r="D856" s="118"/>
      <c r="E856" s="3"/>
      <c r="F856" s="3"/>
      <c r="G856" s="3"/>
      <c r="I856" s="490"/>
    </row>
    <row r="857" spans="1:9" ht="12.75" customHeight="1">
      <c r="A857" s="987"/>
      <c r="B857" s="485" t="s">
        <v>2776</v>
      </c>
      <c r="C857" s="984"/>
      <c r="D857" s="1847" t="s">
        <v>1754</v>
      </c>
      <c r="E857" s="1847"/>
      <c r="F857" s="1847"/>
      <c r="G857" s="3"/>
      <c r="I857" s="490"/>
    </row>
    <row r="858" spans="1:9" ht="12.75" customHeight="1">
      <c r="A858" s="354"/>
      <c r="B858" s="987"/>
      <c r="C858" s="984"/>
      <c r="D858" s="1847"/>
      <c r="E858" s="1847"/>
      <c r="F858" s="1847"/>
      <c r="G858" s="3"/>
      <c r="I858" s="490"/>
    </row>
    <row r="859" spans="1:9" ht="12.75" customHeight="1">
      <c r="A859" s="175"/>
      <c r="B859" s="354"/>
      <c r="C859" s="984"/>
      <c r="D859" s="1422" t="s">
        <v>2025</v>
      </c>
      <c r="E859" s="1422"/>
      <c r="F859" s="1422"/>
      <c r="G859" s="3"/>
      <c r="I859" s="490"/>
    </row>
    <row r="860" spans="1:9" ht="12.75" customHeight="1">
      <c r="A860" s="175"/>
      <c r="B860" s="175"/>
      <c r="C860" s="984"/>
      <c r="D860" s="1422"/>
      <c r="E860" s="1422"/>
      <c r="F860" s="1422"/>
      <c r="G860" s="3"/>
      <c r="I860" s="490"/>
    </row>
    <row r="861" spans="1:9" ht="12.75" customHeight="1">
      <c r="A861" s="175"/>
      <c r="B861" s="175"/>
      <c r="C861" s="984"/>
      <c r="D861" s="1422"/>
      <c r="E861" s="1422"/>
      <c r="F861" s="1422"/>
      <c r="G861" s="3"/>
      <c r="I861" s="490"/>
    </row>
    <row r="862" spans="1:9" ht="12.75" customHeight="1">
      <c r="A862" s="175"/>
      <c r="B862" s="175"/>
      <c r="C862" s="984"/>
      <c r="D862" s="1422"/>
      <c r="E862" s="1422"/>
      <c r="F862" s="1422"/>
      <c r="G862" s="3"/>
      <c r="I862" s="490"/>
    </row>
    <row r="863" spans="1:9" ht="12.75" customHeight="1">
      <c r="A863" s="175"/>
      <c r="B863" s="175"/>
      <c r="C863" s="984"/>
      <c r="D863" s="1422"/>
      <c r="E863" s="1422"/>
      <c r="F863" s="1422"/>
      <c r="G863" s="3"/>
      <c r="I863" s="490"/>
    </row>
    <row r="864" spans="1:9" ht="12.75" customHeight="1">
      <c r="A864" s="175"/>
      <c r="B864" s="175"/>
      <c r="C864" s="984"/>
      <c r="D864" s="1422"/>
      <c r="E864" s="1422"/>
      <c r="F864" s="1422"/>
      <c r="G864" s="3"/>
      <c r="I864" s="490"/>
    </row>
    <row r="865" spans="1:9" ht="12.75" customHeight="1">
      <c r="A865" s="175"/>
      <c r="B865" s="175"/>
      <c r="C865" s="984"/>
      <c r="D865" s="118"/>
      <c r="E865" s="3"/>
      <c r="F865" s="3"/>
      <c r="G865" s="3"/>
      <c r="I865" s="490"/>
    </row>
    <row r="866" spans="1:9" ht="12.75" customHeight="1">
      <c r="A866" s="175"/>
      <c r="B866" s="485" t="s">
        <v>2765</v>
      </c>
      <c r="C866" s="984"/>
      <c r="D866" s="1422" t="s">
        <v>1755</v>
      </c>
      <c r="E866" s="1422"/>
      <c r="F866" s="1422"/>
      <c r="G866" s="3"/>
      <c r="I866" s="490" t="s">
        <v>1853</v>
      </c>
    </row>
    <row r="867" spans="1:9" ht="12.75" customHeight="1">
      <c r="A867" s="175"/>
      <c r="B867" s="175"/>
      <c r="C867" s="984"/>
      <c r="D867" s="1422" t="s">
        <v>1756</v>
      </c>
      <c r="E867" s="1422"/>
      <c r="F867" s="1422"/>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2765</v>
      </c>
      <c r="C870" s="984"/>
      <c r="D870" s="1422" t="s">
        <v>1757</v>
      </c>
      <c r="E870" s="1422"/>
      <c r="F870" s="1422"/>
      <c r="G870" s="3"/>
      <c r="I870" s="490" t="s">
        <v>1856</v>
      </c>
    </row>
    <row r="871" spans="1:9" ht="12.75" customHeight="1">
      <c r="A871" s="175"/>
      <c r="B871" s="175"/>
      <c r="C871" s="984"/>
      <c r="D871" s="1422"/>
      <c r="E871" s="1422"/>
      <c r="F871" s="1422"/>
      <c r="G871" s="3"/>
      <c r="I871" s="490"/>
    </row>
    <row r="872" spans="1:9" ht="12.75" customHeight="1">
      <c r="A872" s="175"/>
      <c r="B872" s="175"/>
      <c r="C872" s="984"/>
      <c r="D872" s="1422"/>
      <c r="E872" s="1422"/>
      <c r="F872" s="1422"/>
      <c r="G872" s="3"/>
      <c r="I872" s="490"/>
    </row>
    <row r="873" spans="1:9" ht="12.75" customHeight="1">
      <c r="A873" s="175"/>
      <c r="B873" s="175"/>
      <c r="C873" s="984"/>
      <c r="D873" s="1422"/>
      <c r="E873" s="1422"/>
      <c r="F873" s="1422"/>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30" t="s">
        <v>1791</v>
      </c>
      <c r="E877" s="1830"/>
      <c r="F877" s="1830"/>
      <c r="G877" s="983"/>
      <c r="I877" s="490"/>
    </row>
    <row r="878" spans="1:9" ht="12.75" customHeight="1">
      <c r="A878" s="354"/>
      <c r="B878" s="354"/>
      <c r="C878" s="174"/>
      <c r="D878" s="1846" t="s">
        <v>1759</v>
      </c>
      <c r="E878" s="1846"/>
      <c r="F878" s="1846"/>
      <c r="G878" s="983"/>
      <c r="I878" s="490"/>
    </row>
    <row r="879" spans="1:9" ht="12.75" customHeight="1">
      <c r="A879" s="354"/>
      <c r="B879" s="354"/>
      <c r="C879" s="174"/>
      <c r="D879" s="990"/>
      <c r="E879" s="990"/>
      <c r="F879" s="990"/>
      <c r="G879" s="983"/>
      <c r="I879" s="490"/>
    </row>
    <row r="880" spans="1:9" ht="12.75" customHeight="1">
      <c r="A880" s="175"/>
      <c r="B880" s="485" t="s">
        <v>2776</v>
      </c>
      <c r="C880" s="354"/>
      <c r="D880" s="1831" t="s">
        <v>1760</v>
      </c>
      <c r="E880" s="1831"/>
      <c r="F880" s="1831"/>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2776</v>
      </c>
      <c r="C883" s="354"/>
      <c r="D883" s="1422" t="s">
        <v>1761</v>
      </c>
      <c r="E883" s="1853"/>
      <c r="F883" s="1853"/>
      <c r="G883" s="3"/>
      <c r="I883" s="490" t="s">
        <v>1856</v>
      </c>
    </row>
    <row r="884" spans="1:9" ht="12.75" customHeight="1">
      <c r="A884" s="354"/>
      <c r="B884" s="354"/>
      <c r="C884" s="354"/>
      <c r="D884" s="1853"/>
      <c r="E884" s="1853"/>
      <c r="F884" s="1853"/>
      <c r="G884" s="3"/>
      <c r="I884" s="490"/>
    </row>
    <row r="885" spans="1:9" ht="12.75" customHeight="1">
      <c r="A885" s="354"/>
      <c r="B885" s="354"/>
      <c r="C885" s="354"/>
      <c r="D885" s="118"/>
      <c r="E885" s="3"/>
      <c r="F885" s="3"/>
      <c r="G885" s="3"/>
      <c r="I885" s="490"/>
    </row>
    <row r="886" spans="1:9" ht="12.75" customHeight="1">
      <c r="A886" s="354"/>
      <c r="B886" s="485" t="s">
        <v>2765</v>
      </c>
      <c r="C886" s="354"/>
      <c r="D886" s="1854" t="s">
        <v>1762</v>
      </c>
      <c r="E886" s="1854"/>
      <c r="F886" s="1854"/>
      <c r="G886" s="983"/>
      <c r="I886" s="490"/>
    </row>
    <row r="887" spans="1:9" ht="12.75" customHeight="1">
      <c r="A887" s="354"/>
      <c r="B887" s="991"/>
      <c r="C887" s="354"/>
      <c r="D887" s="1854"/>
      <c r="E887" s="1854"/>
      <c r="F887" s="1854"/>
      <c r="G887" s="983"/>
      <c r="I887" s="490"/>
    </row>
    <row r="888" spans="1:9" ht="12.75" customHeight="1">
      <c r="A888" s="175"/>
      <c r="B888"/>
      <c r="C888" s="354"/>
      <c r="D888" s="1422" t="s">
        <v>2025</v>
      </c>
      <c r="E888" s="1422"/>
      <c r="F888" s="1422"/>
      <c r="G888" s="983"/>
      <c r="I888" s="490"/>
    </row>
    <row r="889" spans="1:9" ht="12.75" customHeight="1">
      <c r="A889" s="175"/>
      <c r="B889" s="175"/>
      <c r="C889" s="354"/>
      <c r="D889" s="1422"/>
      <c r="E889" s="1422"/>
      <c r="F889" s="1422"/>
      <c r="G889" s="983"/>
      <c r="I889" s="490"/>
    </row>
    <row r="890" spans="1:9" ht="12.75" customHeight="1">
      <c r="A890" s="175"/>
      <c r="B890" s="175"/>
      <c r="C890" s="354"/>
      <c r="D890" s="1422"/>
      <c r="E890" s="1422"/>
      <c r="F890" s="1422"/>
      <c r="G890" s="983"/>
      <c r="I890" s="490"/>
    </row>
    <row r="891" spans="1:9" ht="12.75" customHeight="1">
      <c r="A891" s="175"/>
      <c r="B891" s="175"/>
      <c r="C891" s="354"/>
      <c r="D891" s="1422"/>
      <c r="E891" s="1422"/>
      <c r="F891" s="1422"/>
      <c r="G891" s="983"/>
      <c r="I891" s="490"/>
    </row>
    <row r="892" spans="1:9" ht="12.75" customHeight="1">
      <c r="A892" s="175"/>
      <c r="B892" s="175"/>
      <c r="C892" s="354"/>
      <c r="D892" s="1422"/>
      <c r="E892" s="1422"/>
      <c r="F892" s="1422"/>
      <c r="G892" s="983"/>
      <c r="I892" s="490"/>
    </row>
    <row r="893" spans="1:9" ht="12.75" customHeight="1">
      <c r="A893" s="175"/>
      <c r="B893" s="175"/>
      <c r="C893" s="354"/>
      <c r="D893" s="1422"/>
      <c r="E893" s="1422"/>
      <c r="F893" s="1422"/>
      <c r="G893" s="983"/>
      <c r="I893" s="490"/>
    </row>
    <row r="894" spans="1:9" ht="12.75" customHeight="1">
      <c r="A894" s="175"/>
      <c r="B894" s="175"/>
      <c r="C894" s="354"/>
      <c r="D894" s="118"/>
      <c r="E894" s="983"/>
      <c r="F894" s="983"/>
      <c r="G894" s="983"/>
      <c r="I894" s="490"/>
    </row>
    <row r="895" spans="1:9" ht="12.75" customHeight="1">
      <c r="A895" s="175"/>
      <c r="B895" s="485" t="s">
        <v>2765</v>
      </c>
      <c r="C895" s="354"/>
      <c r="D895" s="1822" t="s">
        <v>1755</v>
      </c>
      <c r="E895" s="1822"/>
      <c r="F895" s="1822"/>
      <c r="G895" s="983"/>
      <c r="I895" s="490"/>
    </row>
    <row r="896" spans="1:9" ht="12.75" customHeight="1">
      <c r="A896" s="175"/>
      <c r="B896" s="175"/>
      <c r="C896" s="354"/>
      <c r="D896" s="1822" t="s">
        <v>1756</v>
      </c>
      <c r="E896" s="1822"/>
      <c r="F896" s="1822"/>
      <c r="G896" s="983"/>
      <c r="I896" s="490"/>
    </row>
    <row r="897" spans="1:9" ht="12.75" customHeight="1">
      <c r="A897" s="175"/>
      <c r="B897" s="175"/>
      <c r="C897" s="354"/>
      <c r="D897" s="2" t="s">
        <v>1269</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2765</v>
      </c>
      <c r="C899" s="354"/>
      <c r="D899" s="1422" t="s">
        <v>1757</v>
      </c>
      <c r="E899" s="1422"/>
      <c r="F899" s="1422"/>
      <c r="G899" s="983"/>
      <c r="I899" s="490"/>
    </row>
    <row r="900" spans="1:9" ht="12.75" customHeight="1">
      <c r="A900" s="175"/>
      <c r="B900" s="175"/>
      <c r="C900" s="354"/>
      <c r="D900" s="1422"/>
      <c r="E900" s="1422"/>
      <c r="F900" s="1422"/>
      <c r="G900" s="983"/>
      <c r="I900" s="490"/>
    </row>
    <row r="901" spans="1:9" ht="12.75" customHeight="1">
      <c r="A901" s="175"/>
      <c r="B901" s="175"/>
      <c r="C901" s="354"/>
      <c r="D901" s="1422"/>
      <c r="E901" s="1422"/>
      <c r="F901" s="1422"/>
      <c r="G901" s="983"/>
      <c r="I901" s="490"/>
    </row>
    <row r="902" spans="1:9" ht="12.75" customHeight="1">
      <c r="A902" s="175"/>
      <c r="B902" s="175"/>
      <c r="C902" s="354"/>
      <c r="D902" s="1422"/>
      <c r="E902" s="1422"/>
      <c r="F902" s="1422"/>
      <c r="G902" s="983"/>
      <c r="I902" s="490"/>
    </row>
    <row r="903" spans="1:9" ht="12.75" customHeight="1">
      <c r="A903" s="118"/>
      <c r="B903" s="118"/>
      <c r="C903" s="984"/>
      <c r="D903" s="983"/>
      <c r="E903" s="983"/>
      <c r="F903" s="983"/>
      <c r="G903" s="983"/>
      <c r="I903" s="490"/>
    </row>
    <row r="904" spans="1:9" ht="12.75" customHeight="1">
      <c r="A904" s="1827" t="s">
        <v>1792</v>
      </c>
      <c r="B904" s="1827"/>
      <c r="C904" s="1827"/>
      <c r="D904" s="1827"/>
      <c r="E904" s="1827"/>
      <c r="F904" s="1827"/>
      <c r="G904" s="1827"/>
      <c r="H904" s="1023"/>
      <c r="I904" s="1147"/>
    </row>
    <row r="905" spans="1:9" ht="12.75" customHeight="1">
      <c r="A905" s="57"/>
      <c r="B905" s="57"/>
      <c r="C905" s="57"/>
      <c r="D905" s="57"/>
      <c r="E905" s="57"/>
      <c r="F905" s="57"/>
      <c r="G905" s="57"/>
      <c r="I905" s="490"/>
    </row>
    <row r="906" spans="1:9" ht="12.75" customHeight="1">
      <c r="A906" s="57"/>
      <c r="B906" s="57"/>
      <c r="C906" s="57"/>
      <c r="D906" s="1825" t="s">
        <v>1798</v>
      </c>
      <c r="E906" s="1825"/>
      <c r="F906" s="1825"/>
      <c r="G906" s="57"/>
      <c r="I906" s="490"/>
    </row>
    <row r="907" spans="1:9" ht="12.75" customHeight="1">
      <c r="A907" s="57"/>
      <c r="B907" s="57"/>
      <c r="C907" s="57"/>
      <c r="D907" s="976"/>
      <c r="E907" s="976"/>
      <c r="F907" s="976"/>
      <c r="G907" s="57"/>
      <c r="I907" s="490"/>
    </row>
    <row r="908" spans="1:9" ht="12.75" customHeight="1">
      <c r="A908" s="57"/>
      <c r="B908" s="485" t="s">
        <v>2776</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25" t="s">
        <v>1793</v>
      </c>
      <c r="E910" s="1825"/>
      <c r="F910" s="1825"/>
      <c r="G910" s="983"/>
      <c r="I910" s="490"/>
    </row>
    <row r="911" spans="1:9" ht="12.75" customHeight="1">
      <c r="A911" s="172"/>
      <c r="B911" s="172"/>
      <c r="C911" s="172"/>
      <c r="D911" s="1831" t="s">
        <v>1763</v>
      </c>
      <c r="E911" s="1831"/>
      <c r="F911" s="1831"/>
      <c r="G911" s="983"/>
      <c r="I911" s="490"/>
    </row>
    <row r="912" spans="1:9" ht="12.75" customHeight="1">
      <c r="A912" s="984"/>
      <c r="B912" s="984"/>
      <c r="C912" s="984"/>
      <c r="D912" s="2"/>
      <c r="E912" s="983"/>
      <c r="F912" s="983"/>
      <c r="G912" s="983"/>
      <c r="I912" s="490"/>
    </row>
    <row r="913" spans="1:9" ht="12.75" customHeight="1">
      <c r="A913" s="175"/>
      <c r="B913" s="485" t="s">
        <v>2776</v>
      </c>
      <c r="C913" s="354"/>
      <c r="D913" s="1422" t="s">
        <v>1767</v>
      </c>
      <c r="E913" s="1422"/>
      <c r="F913" s="1422"/>
      <c r="G913" s="3"/>
      <c r="I913" s="490"/>
    </row>
    <row r="914" spans="1:9" ht="12.75" customHeight="1">
      <c r="A914" s="354"/>
      <c r="B914" s="354"/>
      <c r="C914" s="354"/>
      <c r="D914" s="1422"/>
      <c r="E914" s="1422"/>
      <c r="F914" s="1422"/>
      <c r="G914" s="3"/>
      <c r="I914" s="490"/>
    </row>
    <row r="915" spans="1:9" ht="12.75" customHeight="1">
      <c r="A915" s="172"/>
      <c r="B915" s="172"/>
      <c r="C915" s="172"/>
      <c r="D915" s="1422" t="s">
        <v>1766</v>
      </c>
      <c r="E915" s="1422"/>
      <c r="F915" s="1422"/>
      <c r="G915" s="983"/>
      <c r="I915" s="490"/>
    </row>
    <row r="916" spans="1:9" ht="12.75" customHeight="1">
      <c r="A916" s="172"/>
      <c r="B916" s="172"/>
      <c r="C916" s="172"/>
      <c r="D916" s="1422"/>
      <c r="E916" s="1422"/>
      <c r="F916" s="1422"/>
      <c r="G916" s="983"/>
      <c r="I916" s="490"/>
    </row>
    <row r="917" spans="1:9" ht="12.75" customHeight="1">
      <c r="A917" s="172"/>
      <c r="B917" s="172"/>
      <c r="C917" s="172"/>
      <c r="D917" s="3"/>
      <c r="E917" s="3"/>
      <c r="F917" s="983"/>
      <c r="G917" s="983"/>
      <c r="I917" s="490"/>
    </row>
    <row r="918" spans="1:9" ht="12.75" customHeight="1">
      <c r="A918" s="175"/>
      <c r="B918" s="485" t="s">
        <v>2776</v>
      </c>
      <c r="C918" s="174"/>
      <c r="D918" s="1814" t="s">
        <v>1764</v>
      </c>
      <c r="E918" s="1814"/>
      <c r="F918" s="1814"/>
      <c r="G918" s="983"/>
      <c r="I918" s="490"/>
    </row>
    <row r="919" spans="1:9" ht="12.75" customHeight="1">
      <c r="A919" s="175"/>
      <c r="B919" s="175"/>
      <c r="C919" s="174"/>
      <c r="D919" s="1814"/>
      <c r="E919" s="1814"/>
      <c r="F919" s="1814"/>
      <c r="G919" s="983"/>
      <c r="I919" s="490"/>
    </row>
    <row r="920" spans="1:9" ht="12.75" customHeight="1">
      <c r="A920" s="175"/>
      <c r="B920" s="175"/>
      <c r="C920" s="174"/>
      <c r="D920" s="1814"/>
      <c r="E920" s="1814"/>
      <c r="F920" s="1814"/>
      <c r="G920" s="983"/>
      <c r="I920" s="490"/>
    </row>
    <row r="921" spans="1:9" ht="12.75" customHeight="1">
      <c r="A921" s="175"/>
      <c r="B921" s="175"/>
      <c r="C921" s="174"/>
      <c r="D921" s="1814"/>
      <c r="E921" s="1814"/>
      <c r="F921" s="1814"/>
      <c r="G921" s="983"/>
      <c r="I921" s="490"/>
    </row>
    <row r="922" spans="1:9" ht="12.75" customHeight="1">
      <c r="A922" s="175"/>
      <c r="B922" s="175"/>
      <c r="C922" s="174"/>
      <c r="D922" s="1814"/>
      <c r="E922" s="1814"/>
      <c r="F922" s="1814"/>
      <c r="G922" s="983"/>
      <c r="I922" s="490"/>
    </row>
    <row r="923" spans="1:9" ht="12.75" customHeight="1">
      <c r="A923" s="174"/>
      <c r="B923" s="174"/>
      <c r="C923" s="174"/>
      <c r="D923" s="1814"/>
      <c r="E923" s="1814"/>
      <c r="F923" s="1814"/>
      <c r="G923" s="983"/>
      <c r="I923" s="490"/>
    </row>
    <row r="924" spans="1:9" ht="12.75" customHeight="1">
      <c r="A924" s="174"/>
      <c r="B924" s="174"/>
      <c r="C924" s="174"/>
      <c r="D924" s="1814"/>
      <c r="E924" s="1814"/>
      <c r="F924" s="1814"/>
      <c r="G924" s="983"/>
      <c r="I924" s="490"/>
    </row>
    <row r="925" spans="1:9" ht="12.75" customHeight="1">
      <c r="A925" s="174"/>
      <c r="B925" s="174"/>
      <c r="C925" s="174"/>
      <c r="D925" s="1814"/>
      <c r="E925" s="1814"/>
      <c r="F925" s="1814"/>
      <c r="G925" s="983"/>
      <c r="I925" s="490"/>
    </row>
    <row r="926" spans="1:9" ht="12.75" customHeight="1">
      <c r="A926" s="174"/>
      <c r="B926" s="174"/>
      <c r="C926" s="174"/>
      <c r="D926" s="335"/>
      <c r="E926" s="335"/>
      <c r="F926" s="335"/>
      <c r="G926" s="983"/>
      <c r="I926" s="490"/>
    </row>
    <row r="927" spans="1:9" ht="12.75" customHeight="1">
      <c r="A927" s="984"/>
      <c r="B927" s="485" t="s">
        <v>2765</v>
      </c>
      <c r="C927" s="984"/>
      <c r="D927" s="1422" t="s">
        <v>1768</v>
      </c>
      <c r="E927" s="1422"/>
      <c r="F927" s="1422"/>
      <c r="G927" s="983"/>
      <c r="I927" s="490"/>
    </row>
    <row r="928" spans="1:9" ht="12.75" customHeight="1">
      <c r="A928" s="984"/>
      <c r="B928" s="984"/>
      <c r="C928" s="984"/>
      <c r="D928" s="1422"/>
      <c r="E928" s="1422"/>
      <c r="F928" s="1422"/>
      <c r="G928" s="983"/>
      <c r="I928" s="490"/>
    </row>
    <row r="929" spans="1:9" ht="12.75" customHeight="1">
      <c r="A929" s="984"/>
      <c r="B929" s="984"/>
      <c r="C929" s="984"/>
      <c r="D929" s="983"/>
      <c r="E929" s="983"/>
      <c r="F929" s="983"/>
      <c r="G929" s="983"/>
      <c r="I929" s="490"/>
    </row>
    <row r="930" spans="1:9" ht="12.75" customHeight="1">
      <c r="A930" s="984"/>
      <c r="B930" s="485" t="s">
        <v>2765</v>
      </c>
      <c r="C930" s="984"/>
      <c r="D930" s="1829" t="s">
        <v>1769</v>
      </c>
      <c r="E930" s="1829"/>
      <c r="F930" s="1829"/>
      <c r="G930" s="983"/>
      <c r="I930" s="490"/>
    </row>
    <row r="931" spans="1:9" ht="12.75" customHeight="1">
      <c r="A931" s="984"/>
      <c r="B931" s="984"/>
      <c r="C931" s="984"/>
      <c r="D931" s="1829"/>
      <c r="E931" s="1829"/>
      <c r="F931" s="1829"/>
      <c r="G931" s="983"/>
      <c r="I931" s="490"/>
    </row>
    <row r="932" spans="1:9" ht="12.75" customHeight="1">
      <c r="A932" s="984"/>
      <c r="B932" s="984"/>
      <c r="C932" s="984"/>
      <c r="D932" s="1829"/>
      <c r="E932" s="1829"/>
      <c r="F932" s="1829"/>
      <c r="G932" s="983"/>
      <c r="I932" s="490"/>
    </row>
    <row r="933" spans="1:9" ht="12.75" customHeight="1">
      <c r="A933" s="984"/>
      <c r="B933" s="984"/>
      <c r="C933" s="984"/>
      <c r="D933" s="1829"/>
      <c r="E933" s="1829"/>
      <c r="F933" s="1829"/>
      <c r="G933" s="983"/>
      <c r="I933" s="490"/>
    </row>
    <row r="934" spans="1:9" ht="12.75" customHeight="1">
      <c r="A934" s="984"/>
      <c r="B934" s="984"/>
      <c r="C934" s="984"/>
      <c r="D934" s="118"/>
      <c r="E934" s="983"/>
      <c r="F934" s="983"/>
      <c r="G934" s="983"/>
      <c r="I934" s="490"/>
    </row>
    <row r="935" spans="1:9" ht="12.75" customHeight="1">
      <c r="A935" s="984"/>
      <c r="B935" s="485" t="s">
        <v>2765</v>
      </c>
      <c r="C935" s="984"/>
      <c r="D935" s="1831" t="s">
        <v>2026</v>
      </c>
      <c r="E935" s="1831"/>
      <c r="F935" s="1831"/>
      <c r="G935" s="983"/>
      <c r="I935" s="490"/>
    </row>
    <row r="936" spans="1:9" ht="12.75" customHeight="1">
      <c r="A936" s="984"/>
      <c r="B936" s="984"/>
      <c r="C936" s="984"/>
      <c r="D936" s="118"/>
      <c r="E936" s="983"/>
      <c r="F936" s="983"/>
      <c r="G936" s="983"/>
      <c r="I936" s="490"/>
    </row>
    <row r="937" spans="1:9" ht="12.75" customHeight="1">
      <c r="A937" s="984"/>
      <c r="B937" s="485" t="s">
        <v>2765</v>
      </c>
      <c r="C937" s="984"/>
      <c r="D937" s="1831" t="s">
        <v>2027</v>
      </c>
      <c r="E937" s="1831"/>
      <c r="F937" s="1831"/>
      <c r="G937" s="983"/>
      <c r="I937" s="490"/>
    </row>
    <row r="938" spans="1:9" ht="12.75" customHeight="1">
      <c r="A938" s="174"/>
      <c r="B938" s="174"/>
      <c r="C938" s="174"/>
      <c r="D938" s="2"/>
      <c r="E938" s="3"/>
      <c r="F938" s="983"/>
      <c r="G938" s="983"/>
      <c r="I938" s="490"/>
    </row>
    <row r="939" spans="1:9" ht="12.75" customHeight="1">
      <c r="A939" s="992"/>
      <c r="B939" s="485" t="s">
        <v>2765</v>
      </c>
      <c r="C939" s="993"/>
      <c r="D939" s="1814" t="s">
        <v>1765</v>
      </c>
      <c r="E939" s="1814"/>
      <c r="F939" s="1814"/>
      <c r="G939" s="994"/>
      <c r="I939" s="490"/>
    </row>
    <row r="940" spans="1:9" ht="12.75" customHeight="1">
      <c r="A940" s="992"/>
      <c r="B940" s="992"/>
      <c r="C940" s="993"/>
      <c r="D940" s="1814"/>
      <c r="E940" s="1814"/>
      <c r="F940" s="1814"/>
      <c r="G940" s="994"/>
      <c r="I940" s="490"/>
    </row>
    <row r="941" spans="1:9" ht="12.75" customHeight="1">
      <c r="A941" s="992"/>
      <c r="B941" s="992"/>
      <c r="C941" s="993"/>
      <c r="D941" s="1814"/>
      <c r="E941" s="1814"/>
      <c r="F941" s="1814"/>
      <c r="G941" s="994"/>
      <c r="I941" s="490"/>
    </row>
    <row r="942" spans="1:9" ht="12.75" customHeight="1">
      <c r="A942" s="992"/>
      <c r="B942" s="992"/>
      <c r="C942" s="993"/>
      <c r="D942" s="1814"/>
      <c r="E942" s="1814"/>
      <c r="F942" s="1814"/>
      <c r="G942" s="994"/>
      <c r="I942" s="490"/>
    </row>
    <row r="943" spans="1:9" ht="12.75" customHeight="1">
      <c r="A943" s="992"/>
      <c r="B943" s="992"/>
      <c r="C943" s="993"/>
      <c r="D943" s="1814"/>
      <c r="E943" s="1814"/>
      <c r="F943" s="1814"/>
      <c r="G943" s="994"/>
      <c r="I943" s="490"/>
    </row>
    <row r="944" spans="1:9" ht="12.75" customHeight="1">
      <c r="A944" s="992"/>
      <c r="B944" s="992"/>
      <c r="C944" s="993"/>
      <c r="D944" s="1814"/>
      <c r="E944" s="1814"/>
      <c r="F944" s="1814"/>
      <c r="G944" s="994"/>
      <c r="I944" s="490"/>
    </row>
    <row r="945" spans="1:9" ht="12.75" customHeight="1">
      <c r="A945" s="992"/>
      <c r="B945" s="992"/>
      <c r="C945" s="993"/>
      <c r="D945" s="1814"/>
      <c r="E945" s="1814"/>
      <c r="F945" s="1814"/>
      <c r="G945" s="994"/>
      <c r="I945" s="490"/>
    </row>
    <row r="946" spans="1:9" ht="12.75" customHeight="1">
      <c r="A946" s="992"/>
      <c r="B946" s="992"/>
      <c r="C946" s="993"/>
      <c r="D946" s="1814"/>
      <c r="E946" s="1814"/>
      <c r="F946" s="1814"/>
      <c r="G946" s="994"/>
      <c r="I946" s="490"/>
    </row>
    <row r="947" spans="1:9" ht="12.75" customHeight="1">
      <c r="A947" s="992"/>
      <c r="B947" s="992"/>
      <c r="C947" s="993"/>
      <c r="D947" s="1814"/>
      <c r="E947" s="1814"/>
      <c r="F947" s="1814"/>
      <c r="G947" s="994"/>
      <c r="I947" s="490"/>
    </row>
    <row r="948" spans="1:9" ht="12.75" customHeight="1">
      <c r="A948" s="174"/>
      <c r="B948" s="174"/>
      <c r="C948" s="174"/>
      <c r="D948" s="2"/>
      <c r="E948" s="3"/>
      <c r="F948" s="983"/>
      <c r="G948" s="983"/>
      <c r="I948" s="490"/>
    </row>
    <row r="949" spans="1:9" ht="12.75" customHeight="1">
      <c r="A949" s="175"/>
      <c r="B949" s="485" t="s">
        <v>2776</v>
      </c>
      <c r="C949" s="174"/>
      <c r="D949" s="1837" t="s">
        <v>1859</v>
      </c>
      <c r="E949" s="1837"/>
      <c r="F949" s="1837"/>
      <c r="G949" s="983"/>
      <c r="I949" s="490"/>
    </row>
    <row r="950" spans="1:9" ht="12.75" customHeight="1">
      <c r="A950" s="175"/>
      <c r="B950" s="175"/>
      <c r="C950" s="174"/>
      <c r="D950" s="1837"/>
      <c r="E950" s="1837"/>
      <c r="F950" s="1837"/>
      <c r="G950" s="983"/>
      <c r="I950" s="490"/>
    </row>
    <row r="951" spans="1:9" ht="12.75" customHeight="1">
      <c r="A951" s="175"/>
      <c r="B951" s="175"/>
      <c r="C951" s="174"/>
      <c r="D951" s="1837"/>
      <c r="E951" s="1837"/>
      <c r="F951" s="1837"/>
      <c r="G951" s="983"/>
      <c r="I951" s="490"/>
    </row>
    <row r="952" spans="1:9" ht="12.75" customHeight="1">
      <c r="A952" s="175"/>
      <c r="B952" s="175"/>
      <c r="C952" s="174"/>
      <c r="D952" s="1837"/>
      <c r="E952" s="1837"/>
      <c r="F952" s="1837"/>
      <c r="G952" s="983"/>
      <c r="I952" s="490"/>
    </row>
    <row r="953" spans="1:9" ht="12.75" customHeight="1">
      <c r="A953" s="175"/>
      <c r="B953" s="175"/>
      <c r="C953" s="174"/>
      <c r="D953" s="1837"/>
      <c r="E953" s="1837"/>
      <c r="F953" s="1837"/>
      <c r="G953" s="983"/>
      <c r="I953" s="490"/>
    </row>
    <row r="954" spans="1:9" ht="12.75" customHeight="1">
      <c r="A954" s="175"/>
      <c r="B954" s="175"/>
      <c r="C954" s="174"/>
      <c r="D954" s="1837"/>
      <c r="E954" s="1837"/>
      <c r="F954" s="1837"/>
      <c r="G954" s="983"/>
      <c r="I954" s="490"/>
    </row>
    <row r="955" spans="1:9" ht="12.75" customHeight="1">
      <c r="A955" s="175"/>
      <c r="B955" s="175"/>
      <c r="C955" s="174"/>
      <c r="D955" s="1837"/>
      <c r="E955" s="1837"/>
      <c r="F955" s="1837"/>
      <c r="G955" s="983"/>
      <c r="I955" s="490"/>
    </row>
    <row r="956" spans="1:9" ht="12.75" customHeight="1">
      <c r="A956" s="175"/>
      <c r="B956" s="175"/>
      <c r="C956" s="174"/>
      <c r="D956" s="1021"/>
      <c r="E956" s="1021"/>
      <c r="F956" s="1021"/>
      <c r="G956" s="983"/>
      <c r="I956" s="490"/>
    </row>
    <row r="957" spans="1:9" ht="12.75" customHeight="1">
      <c r="A957" s="175"/>
      <c r="B957" s="485" t="s">
        <v>2776</v>
      </c>
      <c r="C957" s="174"/>
      <c r="D957" s="1813" t="s">
        <v>2091</v>
      </c>
      <c r="E957" s="1813"/>
      <c r="F957" s="1813"/>
      <c r="G957" s="983"/>
      <c r="I957" s="490"/>
    </row>
    <row r="958" spans="1:9" ht="12.75" customHeight="1">
      <c r="A958" s="175"/>
      <c r="B958" s="175"/>
      <c r="C958" s="174"/>
      <c r="D958" s="1813"/>
      <c r="E958" s="1813"/>
      <c r="F958" s="1813"/>
      <c r="G958" s="983"/>
      <c r="I958" s="490"/>
    </row>
    <row r="959" spans="1:9" ht="12.75" customHeight="1">
      <c r="A959" s="175"/>
      <c r="B959" s="175"/>
      <c r="C959" s="174"/>
      <c r="D959" s="1813"/>
      <c r="E959" s="1813"/>
      <c r="F959" s="1813"/>
      <c r="G959" s="983"/>
      <c r="I959" s="490"/>
    </row>
    <row r="960" spans="1:9" ht="12.75" customHeight="1">
      <c r="A960" s="175"/>
      <c r="B960" s="175"/>
      <c r="C960" s="174"/>
      <c r="D960" s="1813"/>
      <c r="E960" s="1813"/>
      <c r="F960" s="1813"/>
      <c r="G960" s="983"/>
      <c r="I960" s="490"/>
    </row>
    <row r="961" spans="1:9" ht="12.75" customHeight="1">
      <c r="A961" s="175"/>
      <c r="B961" s="175"/>
      <c r="C961" s="174"/>
      <c r="D961" s="1813"/>
      <c r="E961" s="1813"/>
      <c r="F961" s="1813"/>
      <c r="G961" s="983"/>
      <c r="I961" s="490"/>
    </row>
    <row r="962" spans="1:9" ht="12.75" customHeight="1">
      <c r="A962" s="175"/>
      <c r="B962" s="175"/>
      <c r="C962" s="174"/>
      <c r="D962" s="1813"/>
      <c r="E962" s="1813"/>
      <c r="F962" s="1813"/>
      <c r="G962" s="983"/>
      <c r="I962" s="490"/>
    </row>
    <row r="963" spans="1:9" ht="12.75" customHeight="1">
      <c r="A963" s="175"/>
      <c r="B963" s="175"/>
      <c r="C963" s="174"/>
      <c r="D963" s="1021"/>
      <c r="E963" s="1021"/>
      <c r="F963" s="1021"/>
      <c r="G963" s="983"/>
      <c r="I963" s="490"/>
    </row>
    <row r="964" spans="1:9" ht="12.75" customHeight="1">
      <c r="A964" s="984"/>
      <c r="B964" s="485" t="s">
        <v>2765</v>
      </c>
      <c r="C964" s="984"/>
      <c r="D964" s="1829" t="s">
        <v>1770</v>
      </c>
      <c r="E964" s="1829"/>
      <c r="F964" s="1829"/>
      <c r="G964" s="983"/>
      <c r="I964" s="490"/>
    </row>
    <row r="965" spans="1:9" ht="12.75" customHeight="1">
      <c r="A965" s="984"/>
      <c r="B965" s="984"/>
      <c r="C965" s="984"/>
      <c r="D965" s="1829"/>
      <c r="E965" s="1829"/>
      <c r="F965" s="1829"/>
      <c r="G965" s="983"/>
      <c r="I965" s="490"/>
    </row>
    <row r="966" spans="1:9" ht="12.75" customHeight="1">
      <c r="A966" s="984"/>
      <c r="B966" s="984"/>
      <c r="C966" s="984"/>
      <c r="D966" s="1829"/>
      <c r="E966" s="1829"/>
      <c r="F966" s="1829"/>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2765</v>
      </c>
      <c r="C969" s="174"/>
      <c r="D969" s="1814" t="s">
        <v>1858</v>
      </c>
      <c r="E969" s="1814"/>
      <c r="F969" s="1814"/>
      <c r="G969" s="983"/>
      <c r="I969" s="490"/>
    </row>
    <row r="970" spans="1:9" ht="12.75" customHeight="1">
      <c r="A970" s="175"/>
      <c r="B970" s="175"/>
      <c r="C970" s="174"/>
      <c r="D970" s="1814"/>
      <c r="E970" s="1814"/>
      <c r="F970" s="1814"/>
      <c r="G970" s="983"/>
      <c r="I970" s="490"/>
    </row>
    <row r="971" spans="1:9" ht="12.75" customHeight="1">
      <c r="A971" s="175"/>
      <c r="B971" s="175"/>
      <c r="C971" s="174"/>
      <c r="D971" s="1814"/>
      <c r="E971" s="1814"/>
      <c r="F971" s="1814"/>
      <c r="G971" s="983"/>
      <c r="I971" s="490"/>
    </row>
    <row r="972" spans="1:9" ht="12.75" customHeight="1">
      <c r="A972" s="175"/>
      <c r="B972" s="175"/>
      <c r="C972" s="174"/>
      <c r="D972" s="1814"/>
      <c r="E972" s="1814"/>
      <c r="F972" s="1814"/>
      <c r="G972" s="983"/>
      <c r="I972" s="490"/>
    </row>
    <row r="973" spans="1:9" ht="12.75" customHeight="1">
      <c r="A973" s="984"/>
      <c r="B973" s="984"/>
      <c r="C973" s="984"/>
      <c r="D973" s="975"/>
      <c r="E973" s="975"/>
      <c r="F973" s="975"/>
      <c r="G973" s="975"/>
      <c r="I973" s="490"/>
    </row>
    <row r="974" spans="1:9" ht="12.75" customHeight="1">
      <c r="A974" s="354"/>
      <c r="B974" s="354"/>
      <c r="C974" s="354"/>
      <c r="D974" s="1830" t="s">
        <v>1771</v>
      </c>
      <c r="E974" s="1830"/>
      <c r="F974" s="1830"/>
      <c r="G974" s="3"/>
      <c r="I974" s="490"/>
    </row>
    <row r="975" spans="1:9" ht="12.75" customHeight="1">
      <c r="A975" s="175"/>
      <c r="B975" s="485" t="s">
        <v>2765</v>
      </c>
      <c r="C975" s="354"/>
      <c r="D975" s="1831" t="s">
        <v>1794</v>
      </c>
      <c r="E975" s="1831"/>
      <c r="F975" s="1831"/>
      <c r="G975" s="3"/>
      <c r="I975" s="490"/>
    </row>
    <row r="976" spans="1:9" ht="12.75" customHeight="1">
      <c r="A976" s="354"/>
      <c r="B976" s="354"/>
      <c r="C976" s="354"/>
      <c r="D976" s="3"/>
      <c r="E976" s="3"/>
      <c r="F976" s="3"/>
      <c r="G976" s="3"/>
      <c r="I976" s="490"/>
    </row>
    <row r="977" spans="1:9" ht="12.75" customHeight="1">
      <c r="A977" s="354"/>
      <c r="B977" s="354"/>
      <c r="C977" s="354"/>
      <c r="D977" s="1830" t="s">
        <v>1772</v>
      </c>
      <c r="E977" s="1830"/>
      <c r="F977" s="1830"/>
      <c r="G977"/>
      <c r="I977" s="490"/>
    </row>
    <row r="978" spans="1:9" ht="12.75" customHeight="1">
      <c r="A978" s="175"/>
      <c r="B978" s="485" t="s">
        <v>2765</v>
      </c>
      <c r="C978" s="354"/>
      <c r="D978" s="1422" t="s">
        <v>2028</v>
      </c>
      <c r="E978" s="1422"/>
      <c r="F978" s="1422"/>
      <c r="G978"/>
      <c r="I978" s="490"/>
    </row>
    <row r="979" spans="1:9" ht="12.75" customHeight="1">
      <c r="A979" s="175"/>
      <c r="B979" s="175"/>
      <c r="C979" s="354"/>
      <c r="D979" s="1422"/>
      <c r="E979" s="1422"/>
      <c r="F979" s="1422"/>
      <c r="G979"/>
      <c r="I979" s="490"/>
    </row>
    <row r="980" spans="1:9" ht="12.75" customHeight="1">
      <c r="A980" s="175"/>
      <c r="B980" s="175"/>
      <c r="C980" s="354"/>
      <c r="D980" s="1422"/>
      <c r="E980" s="1422"/>
      <c r="F980" s="1422"/>
      <c r="G980"/>
      <c r="I980" s="490"/>
    </row>
    <row r="981" spans="1:9" ht="12.75" customHeight="1">
      <c r="A981" s="175"/>
      <c r="B981" s="175"/>
      <c r="C981" s="354"/>
      <c r="D981" s="1422"/>
      <c r="E981" s="1422"/>
      <c r="F981" s="1422"/>
      <c r="G981"/>
      <c r="I981" s="490"/>
    </row>
    <row r="982" spans="1:9" ht="12.75" customHeight="1">
      <c r="A982" s="175"/>
      <c r="B982" s="175"/>
      <c r="C982" s="354"/>
      <c r="D982" s="1422"/>
      <c r="E982" s="1422"/>
      <c r="F982" s="1422"/>
      <c r="G982"/>
      <c r="I982" s="490"/>
    </row>
    <row r="983" spans="1:9" ht="12.75" customHeight="1">
      <c r="A983" s="175"/>
      <c r="B983" s="175"/>
      <c r="C983" s="354"/>
      <c r="D983" s="1422"/>
      <c r="E983" s="1422"/>
      <c r="F983" s="1422"/>
      <c r="G983"/>
      <c r="I983" s="490"/>
    </row>
    <row r="984" spans="1:9" ht="12.75" customHeight="1">
      <c r="A984" s="175"/>
      <c r="B984" s="175"/>
      <c r="C984" s="354"/>
      <c r="D984" s="1422"/>
      <c r="E984" s="1422"/>
      <c r="F984" s="1422"/>
      <c r="G984"/>
      <c r="I984" s="490"/>
    </row>
    <row r="985" spans="1:9" ht="12.75" customHeight="1">
      <c r="A985" s="175"/>
      <c r="B985" s="175"/>
      <c r="C985" s="354"/>
      <c r="D985" s="1422"/>
      <c r="E985" s="1422"/>
      <c r="F985" s="1422"/>
      <c r="G985"/>
      <c r="I985" s="490"/>
    </row>
    <row r="986" spans="1:9" ht="12.75" customHeight="1">
      <c r="A986" s="175"/>
      <c r="B986" s="175"/>
      <c r="C986" s="354"/>
      <c r="D986" s="1422"/>
      <c r="E986" s="1422"/>
      <c r="F986" s="1422"/>
      <c r="G986"/>
      <c r="I986" s="490"/>
    </row>
    <row r="987" spans="1:9" ht="12.75" customHeight="1">
      <c r="A987" s="175"/>
      <c r="B987" s="175"/>
      <c r="C987" s="354"/>
      <c r="D987" s="1422"/>
      <c r="E987" s="1422"/>
      <c r="F987" s="1422"/>
      <c r="G987"/>
      <c r="I987" s="490"/>
    </row>
    <row r="988" spans="1:9" ht="12.75" customHeight="1">
      <c r="A988" s="175"/>
      <c r="B988" s="175"/>
      <c r="C988" s="354"/>
      <c r="D988" s="1422"/>
      <c r="E988" s="1422"/>
      <c r="F988" s="1422"/>
      <c r="G988"/>
      <c r="I988" s="490"/>
    </row>
    <row r="989" spans="1:9" ht="12.75" customHeight="1">
      <c r="A989" s="175"/>
      <c r="B989" s="175"/>
      <c r="C989" s="354"/>
      <c r="D989" s="1422"/>
      <c r="E989" s="1422"/>
      <c r="F989" s="1422"/>
      <c r="G989"/>
      <c r="I989" s="490"/>
    </row>
    <row r="990" spans="1:9" ht="12.75" customHeight="1">
      <c r="A990" s="175"/>
      <c r="B990" s="175"/>
      <c r="C990" s="354"/>
      <c r="D990" s="1422"/>
      <c r="E990" s="1422"/>
      <c r="F990" s="1422"/>
      <c r="G990"/>
      <c r="I990" s="490"/>
    </row>
    <row r="991" spans="1:9" ht="12.75" customHeight="1">
      <c r="A991" s="175"/>
      <c r="B991" s="175"/>
      <c r="C991" s="354"/>
      <c r="D991" s="1422"/>
      <c r="E991" s="1422"/>
      <c r="F991" s="1422"/>
      <c r="G991"/>
      <c r="I991" s="490"/>
    </row>
    <row r="992" spans="1:9" ht="12.75" customHeight="1">
      <c r="A992" s="175"/>
      <c r="B992" s="175"/>
      <c r="C992" s="354"/>
      <c r="D992" s="1422"/>
      <c r="E992" s="1422"/>
      <c r="F992" s="1422"/>
      <c r="G992" s="3"/>
      <c r="I992" s="490"/>
    </row>
    <row r="993" spans="1:9" ht="12.75" customHeight="1">
      <c r="A993" s="354"/>
      <c r="B993" s="354"/>
      <c r="C993" s="354"/>
      <c r="D993" s="3"/>
      <c r="E993" s="3"/>
      <c r="F993" s="3"/>
      <c r="G993" s="3"/>
      <c r="I993" s="490"/>
    </row>
    <row r="994" spans="1:9" ht="12.75" customHeight="1">
      <c r="A994" s="1827" t="s">
        <v>1773</v>
      </c>
      <c r="B994" s="1827"/>
      <c r="C994" s="1827"/>
      <c r="D994" s="1827"/>
      <c r="E994" s="1827"/>
      <c r="F994" s="1827"/>
      <c r="G994" s="1827"/>
      <c r="H994" s="1023"/>
      <c r="I994" s="1147"/>
    </row>
    <row r="995" spans="1:9" ht="12.75" customHeight="1">
      <c r="A995" s="118"/>
      <c r="B995" s="118"/>
      <c r="C995" s="354"/>
      <c r="D995" s="3"/>
      <c r="E995" s="3"/>
      <c r="F995" s="3"/>
      <c r="G995" s="3"/>
      <c r="I995" s="490"/>
    </row>
    <row r="996" spans="1:9" ht="12.75" customHeight="1">
      <c r="A996" s="354"/>
      <c r="B996" s="354"/>
      <c r="C996" s="984"/>
      <c r="D996" s="1830" t="s">
        <v>1795</v>
      </c>
      <c r="E996" s="1830"/>
      <c r="F996" s="1830"/>
      <c r="G996" s="3"/>
      <c r="I996" s="490"/>
    </row>
    <row r="997" spans="1:9" ht="12.75" customHeight="1">
      <c r="A997" s="172"/>
      <c r="B997" s="172"/>
      <c r="C997" s="172"/>
      <c r="D997" s="1831" t="s">
        <v>1774</v>
      </c>
      <c r="E997" s="1831"/>
      <c r="F997" s="1831"/>
      <c r="G997" s="3"/>
      <c r="I997" s="490"/>
    </row>
    <row r="998" spans="1:9" ht="12.75" customHeight="1">
      <c r="A998" s="172"/>
      <c r="B998" s="172"/>
      <c r="C998" s="172"/>
      <c r="D998" s="3"/>
      <c r="E998" s="3"/>
      <c r="F998" s="983"/>
      <c r="G998"/>
      <c r="I998" s="490"/>
    </row>
    <row r="999" spans="1:9" ht="12.75" customHeight="1">
      <c r="A999" s="354"/>
      <c r="B999" s="485" t="s">
        <v>2776</v>
      </c>
      <c r="C999" s="354"/>
      <c r="D999" s="1832" t="s">
        <v>1887</v>
      </c>
      <c r="E999" s="1832"/>
      <c r="F999" s="1832"/>
      <c r="G999"/>
      <c r="I999" s="490"/>
    </row>
    <row r="1000" spans="1:9" ht="12.75" customHeight="1">
      <c r="A1000" s="354"/>
      <c r="B1000" s="354"/>
      <c r="C1000" s="354"/>
      <c r="D1000" s="1832"/>
      <c r="E1000" s="1832"/>
      <c r="F1000" s="1832"/>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320" t="s">
        <v>1886</v>
      </c>
      <c r="E1002" s="1320"/>
      <c r="F1002" s="1320"/>
      <c r="G1002"/>
      <c r="I1002" s="490"/>
    </row>
    <row r="1003" spans="1:9" ht="12.75" customHeight="1">
      <c r="A1003" s="354"/>
      <c r="B1003" s="354"/>
      <c r="C1003" s="354"/>
      <c r="D1003" s="1320"/>
      <c r="E1003" s="1320"/>
      <c r="F1003" s="1320"/>
      <c r="G1003"/>
      <c r="I1003" s="490"/>
    </row>
    <row r="1004" spans="1:9" ht="12.75" customHeight="1">
      <c r="A1004" s="174"/>
      <c r="B1004" s="174"/>
      <c r="C1004" s="174"/>
      <c r="D1004" s="1320"/>
      <c r="E1004" s="1320"/>
      <c r="F1004" s="1320"/>
      <c r="G1004"/>
      <c r="I1004" s="490"/>
    </row>
    <row r="1005" spans="1:9" ht="12.75" customHeight="1">
      <c r="A1005" s="174"/>
      <c r="B1005" s="174"/>
      <c r="C1005" s="174"/>
      <c r="D1005" s="1320"/>
      <c r="E1005" s="1320"/>
      <c r="F1005" s="1320"/>
      <c r="G1005"/>
      <c r="I1005" s="490"/>
    </row>
    <row r="1006" spans="1:9" ht="12.75" customHeight="1">
      <c r="A1006" s="174"/>
      <c r="B1006" s="174"/>
      <c r="C1006" s="174"/>
      <c r="D1006" s="335"/>
      <c r="E1006" s="335"/>
      <c r="F1006" s="335"/>
      <c r="G1006"/>
      <c r="I1006" s="490"/>
    </row>
    <row r="1007" spans="1:9" ht="12.75" customHeight="1">
      <c r="A1007" s="174"/>
      <c r="B1007" s="485" t="s">
        <v>2765</v>
      </c>
      <c r="C1007" s="174"/>
      <c r="D1007" s="1422" t="s">
        <v>1775</v>
      </c>
      <c r="E1007" s="1422"/>
      <c r="F1007" s="1422"/>
      <c r="G1007"/>
      <c r="I1007" s="490"/>
    </row>
    <row r="1008" spans="1:9" ht="12.75" customHeight="1">
      <c r="A1008" s="174"/>
      <c r="B1008" s="174"/>
      <c r="C1008" s="174"/>
      <c r="D1008" s="1422"/>
      <c r="E1008" s="1422"/>
      <c r="F1008" s="1422"/>
      <c r="G1008"/>
      <c r="I1008" s="490"/>
    </row>
    <row r="1009" spans="1:9" ht="12.75" customHeight="1">
      <c r="A1009" s="174"/>
      <c r="B1009" s="174"/>
      <c r="C1009" s="174"/>
      <c r="D1009" s="1422"/>
      <c r="E1009" s="1422"/>
      <c r="F1009" s="1422"/>
      <c r="G1009"/>
      <c r="I1009" s="490"/>
    </row>
    <row r="1010" spans="1:9" ht="12.75" customHeight="1">
      <c r="A1010" s="174"/>
      <c r="B1010" s="174"/>
      <c r="C1010" s="174"/>
      <c r="D1010" s="1422"/>
      <c r="E1010" s="1422"/>
      <c r="F1010" s="1422"/>
      <c r="G1010"/>
      <c r="I1010" s="490"/>
    </row>
    <row r="1011" spans="1:9" ht="12.75" customHeight="1">
      <c r="A1011" s="174"/>
      <c r="B1011" s="174"/>
      <c r="C1011" s="174"/>
      <c r="D1011" s="441"/>
      <c r="E1011" s="441"/>
      <c r="F1011" s="441"/>
      <c r="G1011"/>
      <c r="I1011" s="490"/>
    </row>
    <row r="1012" spans="1:9" ht="12.75" customHeight="1">
      <c r="A1012" s="174"/>
      <c r="B1012" s="485" t="s">
        <v>2765</v>
      </c>
      <c r="C1012" s="174"/>
      <c r="D1012" s="1422" t="s">
        <v>2182</v>
      </c>
      <c r="E1012" s="1422"/>
      <c r="F1012" s="1422"/>
      <c r="G1012"/>
      <c r="I1012" s="490"/>
    </row>
    <row r="1013" spans="1:9" ht="12.75" customHeight="1">
      <c r="A1013" s="174"/>
      <c r="B1013" s="174"/>
      <c r="C1013" s="174"/>
      <c r="D1013" s="1422"/>
      <c r="E1013" s="1422"/>
      <c r="F1013" s="1422"/>
      <c r="G1013"/>
      <c r="I1013" s="490"/>
    </row>
    <row r="1014" spans="1:9" ht="12.75" customHeight="1">
      <c r="A1014" s="174"/>
      <c r="B1014" s="174"/>
      <c r="C1014" s="174"/>
      <c r="D1014" s="441"/>
      <c r="E1014" s="441"/>
      <c r="F1014" s="441"/>
      <c r="G1014"/>
      <c r="I1014" s="490"/>
    </row>
    <row r="1015" spans="1:9" ht="12.75" customHeight="1">
      <c r="A1015" s="175"/>
      <c r="B1015" s="485" t="s">
        <v>2765</v>
      </c>
      <c r="C1015" s="354"/>
      <c r="D1015" s="1831" t="s">
        <v>1776</v>
      </c>
      <c r="E1015" s="1831"/>
      <c r="F1015" s="1831"/>
      <c r="G1015"/>
      <c r="I1015" s="490"/>
    </row>
    <row r="1016" spans="1:9" ht="12.75" customHeight="1">
      <c r="A1016" s="354"/>
      <c r="B1016" s="354"/>
      <c r="C1016" s="354"/>
      <c r="D1016" s="3"/>
      <c r="E1016" s="3"/>
      <c r="F1016" s="3"/>
      <c r="G1016"/>
      <c r="I1016" s="490"/>
    </row>
    <row r="1017" spans="1:9" ht="12.75" customHeight="1">
      <c r="A1017" s="175"/>
      <c r="B1017" s="485" t="s">
        <v>2765</v>
      </c>
      <c r="C1017" s="354"/>
      <c r="D1017" s="1831" t="s">
        <v>1777</v>
      </c>
      <c r="E1017" s="1831"/>
      <c r="F1017" s="1831"/>
      <c r="G1017"/>
      <c r="I1017" s="490"/>
    </row>
    <row r="1018" spans="1:9" ht="12.75" customHeight="1">
      <c r="A1018" s="354"/>
      <c r="B1018" s="354"/>
      <c r="C1018" s="354"/>
      <c r="D1018" s="118"/>
      <c r="E1018" s="3"/>
      <c r="F1018" s="3"/>
      <c r="G1018"/>
      <c r="I1018" s="490"/>
    </row>
    <row r="1019" spans="1:9" ht="12.75" customHeight="1">
      <c r="A1019" s="175"/>
      <c r="B1019" s="485" t="s">
        <v>2776</v>
      </c>
      <c r="C1019" s="354"/>
      <c r="D1019" s="1831" t="s">
        <v>1778</v>
      </c>
      <c r="E1019" s="1831"/>
      <c r="F1019" s="1831"/>
      <c r="G1019"/>
      <c r="I1019" s="490"/>
    </row>
    <row r="1020" spans="1:9" ht="12.75" customHeight="1">
      <c r="A1020" s="354"/>
      <c r="B1020" s="354"/>
      <c r="C1020" s="354"/>
      <c r="D1020" s="118"/>
      <c r="E1020" s="3"/>
      <c r="F1020" s="3"/>
      <c r="G1020"/>
      <c r="I1020" s="490"/>
    </row>
    <row r="1021" spans="1:9" ht="12.75" customHeight="1">
      <c r="A1021" s="175"/>
      <c r="B1021" s="485" t="s">
        <v>2776</v>
      </c>
      <c r="C1021" s="354"/>
      <c r="D1021" s="1422" t="s">
        <v>1779</v>
      </c>
      <c r="E1021" s="1422"/>
      <c r="F1021" s="1422"/>
      <c r="G1021"/>
      <c r="I1021" s="490"/>
    </row>
    <row r="1022" spans="1:9" ht="12.75" customHeight="1">
      <c r="A1022" s="175"/>
      <c r="B1022" s="175"/>
      <c r="C1022" s="354"/>
      <c r="D1022" s="1422"/>
      <c r="E1022" s="1422"/>
      <c r="F1022" s="1422"/>
      <c r="G1022"/>
      <c r="I1022" s="490"/>
    </row>
    <row r="1023" spans="1:9" ht="12.75" customHeight="1">
      <c r="A1023" s="175"/>
      <c r="B1023" s="175"/>
      <c r="C1023" s="354"/>
      <c r="D1023" s="118"/>
      <c r="E1023" s="3"/>
      <c r="F1023" s="3"/>
      <c r="G1023" s="3"/>
      <c r="I1023" s="490"/>
    </row>
    <row r="1024" spans="1:9" ht="12.75" customHeight="1">
      <c r="A1024" s="254"/>
      <c r="B1024" s="485" t="s">
        <v>2765</v>
      </c>
      <c r="C1024" s="995"/>
      <c r="D1024" s="1833" t="s">
        <v>1780</v>
      </c>
      <c r="E1024" s="1833"/>
      <c r="F1024" s="1833"/>
      <c r="G1024" s="996"/>
      <c r="I1024" s="490"/>
    </row>
    <row r="1025" spans="1:9" ht="12.75" customHeight="1">
      <c r="A1025" s="995"/>
      <c r="B1025" s="995"/>
      <c r="C1025" s="995"/>
      <c r="D1025" s="1833"/>
      <c r="E1025" s="1833"/>
      <c r="F1025" s="1833"/>
      <c r="G1025" s="996"/>
      <c r="I1025" s="490"/>
    </row>
    <row r="1026" spans="1:9" ht="12.75" customHeight="1">
      <c r="A1026" s="995"/>
      <c r="B1026" s="995"/>
      <c r="C1026" s="995"/>
      <c r="D1026" s="979"/>
      <c r="E1026" s="996"/>
      <c r="F1026" s="996"/>
      <c r="G1026" s="996"/>
      <c r="I1026" s="490"/>
    </row>
    <row r="1027" spans="1:9" ht="12.75" customHeight="1">
      <c r="A1027" s="254"/>
      <c r="B1027" s="485" t="s">
        <v>2765</v>
      </c>
      <c r="C1027" s="995"/>
      <c r="D1027" s="1826" t="s">
        <v>1781</v>
      </c>
      <c r="E1027" s="1826"/>
      <c r="F1027" s="1826"/>
      <c r="G1027" s="996"/>
      <c r="I1027" s="490"/>
    </row>
    <row r="1028" spans="1:9" ht="12.75" customHeight="1">
      <c r="A1028" s="995"/>
      <c r="B1028" s="995"/>
      <c r="C1028" s="995"/>
      <c r="D1028" s="979"/>
      <c r="E1028" s="996"/>
      <c r="F1028" s="996"/>
      <c r="G1028" s="996"/>
      <c r="I1028" s="490"/>
    </row>
    <row r="1029" spans="1:9" ht="12.75" customHeight="1">
      <c r="A1029" s="175"/>
      <c r="B1029" s="485" t="s">
        <v>2765</v>
      </c>
      <c r="C1029" s="354"/>
      <c r="D1029" s="1831" t="s">
        <v>1782</v>
      </c>
      <c r="E1029" s="1831"/>
      <c r="F1029" s="1831"/>
      <c r="G1029" s="3"/>
      <c r="I1029" s="490"/>
    </row>
    <row r="1030" spans="1:9" ht="12.75" customHeight="1">
      <c r="A1030" s="175"/>
      <c r="B1030" s="175"/>
      <c r="C1030" s="354"/>
      <c r="D1030" s="118"/>
      <c r="E1030" s="3"/>
      <c r="F1030" s="3"/>
      <c r="G1030" s="3"/>
      <c r="I1030" s="490"/>
    </row>
    <row r="1031" spans="1:9" ht="12.75" customHeight="1">
      <c r="A1031" s="175"/>
      <c r="B1031" s="485" t="s">
        <v>2765</v>
      </c>
      <c r="C1031" s="354"/>
      <c r="D1031" s="1422" t="s">
        <v>1783</v>
      </c>
      <c r="E1031" s="1422"/>
      <c r="F1031" s="1422"/>
      <c r="G1031" s="3"/>
      <c r="I1031" s="490"/>
    </row>
    <row r="1032" spans="1:9" ht="12.75" customHeight="1">
      <c r="A1032" s="175"/>
      <c r="B1032" s="175"/>
      <c r="C1032" s="354"/>
      <c r="D1032" s="1422"/>
      <c r="E1032" s="1422"/>
      <c r="F1032" s="1422"/>
      <c r="G1032" s="3"/>
      <c r="I1032" s="490"/>
    </row>
    <row r="1033" spans="1:9" ht="12.75" customHeight="1">
      <c r="A1033" s="354"/>
      <c r="B1033" s="354"/>
      <c r="C1033" s="354"/>
      <c r="D1033" s="3"/>
      <c r="E1033" s="3"/>
      <c r="F1033" s="3"/>
      <c r="G1033" s="3"/>
      <c r="I1033" s="490"/>
    </row>
    <row r="1034" spans="1:9" ht="12.75" customHeight="1">
      <c r="A1034" s="1827" t="s">
        <v>1784</v>
      </c>
      <c r="B1034" s="1827"/>
      <c r="C1034" s="1827"/>
      <c r="D1034" s="1827"/>
      <c r="E1034" s="1827"/>
      <c r="F1034" s="1827"/>
      <c r="G1034" s="1827"/>
      <c r="H1034" s="1023"/>
      <c r="I1034" s="1147"/>
    </row>
    <row r="1035" spans="1:9" ht="12.75" customHeight="1">
      <c r="A1035" s="354"/>
      <c r="B1035" s="354"/>
      <c r="C1035" s="354"/>
      <c r="D1035" s="3"/>
      <c r="E1035" s="3"/>
      <c r="F1035" s="3"/>
      <c r="G1035" s="3"/>
      <c r="I1035" s="490"/>
    </row>
    <row r="1036" spans="1:9" ht="12.75" customHeight="1">
      <c r="A1036" s="354"/>
      <c r="B1036" s="354"/>
      <c r="C1036" s="354"/>
      <c r="D1036" s="1825" t="s">
        <v>1785</v>
      </c>
      <c r="E1036" s="1825"/>
      <c r="F1036" s="1825"/>
      <c r="G1036" s="3"/>
      <c r="I1036" s="490"/>
    </row>
    <row r="1037" spans="1:9" ht="12.75" customHeight="1">
      <c r="A1037" s="354"/>
      <c r="B1037" s="354"/>
      <c r="C1037" s="354"/>
      <c r="D1037" s="1826" t="s">
        <v>1786</v>
      </c>
      <c r="E1037" s="1826"/>
      <c r="F1037" s="1826"/>
      <c r="G1037" s="3"/>
      <c r="I1037" s="490"/>
    </row>
    <row r="1038" spans="1:9" ht="12.75" customHeight="1">
      <c r="A1038" s="172"/>
      <c r="B1038" s="172"/>
      <c r="C1038" s="172"/>
      <c r="D1038" s="3"/>
      <c r="E1038" s="3"/>
      <c r="F1038" s="3"/>
      <c r="G1038" s="3"/>
      <c r="I1038" s="490"/>
    </row>
    <row r="1039" spans="1:9" ht="12.75" customHeight="1">
      <c r="A1039" s="175"/>
      <c r="B1039" s="175"/>
      <c r="C1039" s="174"/>
      <c r="D1039" s="1825" t="s">
        <v>1800</v>
      </c>
      <c r="E1039" s="1825"/>
      <c r="F1039" s="1825"/>
      <c r="G1039" s="3"/>
      <c r="I1039" s="490"/>
    </row>
    <row r="1040" spans="1:9" ht="12.75" customHeight="1">
      <c r="A1040" s="354"/>
      <c r="B1040" s="485" t="s">
        <v>2776</v>
      </c>
      <c r="C1040" s="354"/>
      <c r="D1040" s="1826" t="s">
        <v>1270</v>
      </c>
      <c r="E1040" s="1826"/>
      <c r="F1040" s="1826"/>
      <c r="G1040" s="3"/>
      <c r="I1040" s="490"/>
    </row>
    <row r="1041" spans="1:9" ht="12.75" customHeight="1">
      <c r="A1041" s="354"/>
      <c r="B1041" s="175"/>
      <c r="C1041" s="354"/>
      <c r="D1041" s="1826" t="s">
        <v>1787</v>
      </c>
      <c r="E1041" s="1826"/>
      <c r="F1041" s="1826"/>
      <c r="G1041" s="3"/>
      <c r="I1041" s="490"/>
    </row>
    <row r="1042" spans="1:9" ht="12.75" customHeight="1">
      <c r="A1042" s="354"/>
      <c r="B1042" s="354"/>
      <c r="C1042" s="354"/>
      <c r="D1042" s="1826"/>
      <c r="E1042" s="1826"/>
      <c r="F1042" s="1826"/>
      <c r="G1042" s="3"/>
      <c r="I1042" s="490"/>
    </row>
    <row r="1043" spans="1:9" ht="12.75" customHeight="1">
      <c r="A1043" s="1827" t="s">
        <v>1796</v>
      </c>
      <c r="B1043" s="1827"/>
      <c r="C1043" s="1827"/>
      <c r="D1043" s="1827"/>
      <c r="E1043" s="1827"/>
      <c r="F1043" s="1827"/>
      <c r="G1043" s="1827"/>
      <c r="H1043" s="1023"/>
      <c r="I1043" s="1147"/>
    </row>
    <row r="1044" spans="1:9" ht="12.75" customHeight="1">
      <c r="A1044" s="118"/>
      <c r="B1044" s="118"/>
      <c r="C1044" s="354"/>
      <c r="D1044" s="3"/>
      <c r="E1044" s="3"/>
      <c r="F1044" s="3"/>
      <c r="G1044" s="3"/>
      <c r="I1044" s="490"/>
    </row>
    <row r="1045" spans="1:9" ht="12.75" hidden="1" customHeight="1">
      <c r="A1045" s="118"/>
      <c r="B1045" s="402"/>
      <c r="D1045" s="1824" t="s">
        <v>1271</v>
      </c>
      <c r="E1045" s="1824"/>
      <c r="F1045" s="1824"/>
      <c r="G1045" s="3"/>
      <c r="I1045" s="490"/>
    </row>
    <row r="1046" spans="1:9" ht="12.75" hidden="1" customHeight="1">
      <c r="A1046" s="118"/>
      <c r="B1046" s="485" t="s">
        <v>307</v>
      </c>
      <c r="D1046" s="1823" t="s">
        <v>1270</v>
      </c>
      <c r="E1046" s="1823"/>
      <c r="F1046" s="1823"/>
      <c r="G1046" s="3"/>
      <c r="I1046" s="490"/>
    </row>
    <row r="1047" spans="1:9" ht="12.75" hidden="1" customHeight="1">
      <c r="A1047" s="118"/>
      <c r="B1047" s="402"/>
      <c r="D1047" s="1823" t="s">
        <v>1797</v>
      </c>
      <c r="E1047" s="1823"/>
      <c r="F1047" s="1823"/>
      <c r="G1047" s="3"/>
      <c r="I1047" s="490"/>
    </row>
    <row r="1048" spans="1:9" ht="12.75" hidden="1" customHeight="1">
      <c r="A1048" s="118"/>
      <c r="B1048" s="402"/>
      <c r="D1048" s="444"/>
      <c r="E1048" s="444"/>
      <c r="F1048" s="444"/>
      <c r="G1048" s="3"/>
      <c r="I1048" s="490"/>
    </row>
    <row r="1049" spans="1:9" ht="12.75" customHeight="1">
      <c r="A1049" s="118"/>
      <c r="B1049" s="118"/>
      <c r="C1049" s="354"/>
      <c r="D1049" s="1828" t="s">
        <v>1065</v>
      </c>
      <c r="E1049" s="1828"/>
      <c r="F1049" s="1828"/>
      <c r="G1049" s="3"/>
      <c r="I1049" s="490"/>
    </row>
    <row r="1050" spans="1:9" ht="12.75" customHeight="1">
      <c r="A1050" s="319"/>
      <c r="B1050" s="319"/>
      <c r="C1050" s="319"/>
      <c r="D1050" s="1822" t="s">
        <v>2199</v>
      </c>
      <c r="E1050" s="1822"/>
      <c r="F1050" s="1822"/>
      <c r="G1050" s="98"/>
      <c r="I1050" s="490"/>
    </row>
    <row r="1051" spans="1:9" ht="12.75" customHeight="1">
      <c r="A1051" s="175"/>
      <c r="B1051" s="485" t="s">
        <v>2765</v>
      </c>
      <c r="C1051" s="354"/>
      <c r="D1051" s="1822" t="s">
        <v>984</v>
      </c>
      <c r="E1051" s="1822"/>
      <c r="F1051" s="1822"/>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827" t="s">
        <v>2604</v>
      </c>
      <c r="B1054" s="1827"/>
      <c r="C1054" s="1827"/>
      <c r="D1054" s="1827"/>
      <c r="E1054" s="1827"/>
      <c r="F1054" s="1827"/>
      <c r="G1054" s="1827"/>
      <c r="H1054" s="1023"/>
      <c r="I1054" s="1147"/>
    </row>
    <row r="1055" spans="1:9">
      <c r="A1055" s="402"/>
      <c r="B1055" s="402"/>
      <c r="C1055" s="402"/>
      <c r="I1055" s="490"/>
    </row>
    <row r="1056" spans="1:9">
      <c r="A1056" s="402"/>
      <c r="B1056" s="402"/>
      <c r="C1056" s="402"/>
      <c r="D1056" s="404" t="s">
        <v>2603</v>
      </c>
      <c r="I1056" s="490"/>
    </row>
    <row r="1057" spans="1:9">
      <c r="A1057" s="402"/>
      <c r="B1057" s="402"/>
      <c r="C1057" s="402"/>
      <c r="D1057" s="402" t="s">
        <v>2607</v>
      </c>
      <c r="I1057" s="490"/>
    </row>
    <row r="1058" spans="1:9">
      <c r="A1058" s="402"/>
      <c r="B1058" s="402"/>
      <c r="C1058" s="402"/>
      <c r="D1058" s="404"/>
      <c r="I1058" s="490"/>
    </row>
    <row r="1059" spans="1:9">
      <c r="A1059" s="402"/>
      <c r="B1059" s="485" t="s">
        <v>2765</v>
      </c>
      <c r="C1059" s="402"/>
      <c r="D1059" s="1835" t="s">
        <v>1801</v>
      </c>
      <c r="E1059" s="1835"/>
      <c r="F1059" s="1835"/>
      <c r="I1059" s="490"/>
    </row>
    <row r="1060" spans="1:9">
      <c r="A1060" s="402"/>
      <c r="B1060" s="402"/>
      <c r="C1060" s="402"/>
      <c r="D1060" s="1835"/>
      <c r="E1060" s="1835"/>
      <c r="F1060" s="1835"/>
      <c r="I1060" s="490"/>
    </row>
    <row r="1061" spans="1:9">
      <c r="A1061" s="402"/>
      <c r="B1061" s="402"/>
      <c r="C1061" s="402"/>
      <c r="D1061" s="1835"/>
      <c r="E1061" s="1835"/>
      <c r="F1061" s="1835"/>
      <c r="I1061" s="490"/>
    </row>
    <row r="1062" spans="1:9">
      <c r="A1062" s="402"/>
      <c r="B1062" s="402"/>
      <c r="C1062" s="402"/>
      <c r="D1062" s="1835"/>
      <c r="E1062" s="1835"/>
      <c r="F1062" s="1835"/>
      <c r="I1062" s="490"/>
    </row>
    <row r="1063" spans="1:9">
      <c r="A1063" s="402"/>
      <c r="B1063" s="402"/>
      <c r="C1063" s="402"/>
      <c r="I1063" s="490"/>
    </row>
    <row r="1064" spans="1:9">
      <c r="A1064" s="402"/>
      <c r="B1064" s="402"/>
      <c r="C1064" s="402"/>
      <c r="D1064" s="404" t="s">
        <v>1306</v>
      </c>
      <c r="I1064" s="490"/>
    </row>
    <row r="1065" spans="1:9">
      <c r="A1065" s="402"/>
      <c r="B1065" s="402"/>
      <c r="C1065" s="402"/>
      <c r="D1065" s="402" t="s">
        <v>2608</v>
      </c>
      <c r="I1065" s="490"/>
    </row>
    <row r="1066" spans="1:9">
      <c r="A1066" s="402"/>
      <c r="B1066" s="402"/>
      <c r="C1066" s="402"/>
      <c r="I1066" s="490"/>
    </row>
    <row r="1067" spans="1:9">
      <c r="A1067" s="402"/>
      <c r="B1067" s="485" t="s">
        <v>2776</v>
      </c>
      <c r="C1067" s="402"/>
      <c r="D1067" s="402" t="s">
        <v>1799</v>
      </c>
      <c r="I1067" s="490"/>
    </row>
    <row r="1068" spans="1:9">
      <c r="A1068" s="402"/>
      <c r="B1068" s="402"/>
      <c r="C1068" s="402"/>
      <c r="I1068" s="490"/>
    </row>
    <row r="1069" spans="1:9">
      <c r="A1069" s="402"/>
      <c r="B1069" s="485" t="s">
        <v>2765</v>
      </c>
      <c r="C1069" s="402"/>
      <c r="D1069" s="1835" t="s">
        <v>1802</v>
      </c>
      <c r="E1069" s="1835"/>
      <c r="F1069" s="1835"/>
      <c r="I1069" s="490"/>
    </row>
    <row r="1070" spans="1:9">
      <c r="A1070" s="402"/>
      <c r="B1070" s="402"/>
      <c r="C1070" s="402"/>
      <c r="D1070" s="1835"/>
      <c r="E1070" s="1835"/>
      <c r="F1070" s="1835"/>
      <c r="I1070" s="490"/>
    </row>
    <row r="1071" spans="1:9">
      <c r="A1071" s="402"/>
      <c r="B1071" s="402"/>
      <c r="C1071" s="402"/>
      <c r="D1071" s="1835"/>
      <c r="E1071" s="1835"/>
      <c r="F1071" s="1835"/>
      <c r="I1071" s="490"/>
    </row>
    <row r="1072" spans="1:9">
      <c r="A1072" s="402"/>
      <c r="B1072" s="402"/>
      <c r="C1072" s="402"/>
      <c r="D1072" s="1835"/>
      <c r="E1072" s="1835"/>
      <c r="F1072" s="1835"/>
      <c r="I1072" s="490"/>
    </row>
    <row r="1073" spans="1:9">
      <c r="A1073" s="402"/>
      <c r="B1073" s="402"/>
      <c r="C1073" s="402"/>
      <c r="D1073" s="1835"/>
      <c r="E1073" s="1835"/>
      <c r="F1073" s="1835"/>
      <c r="I1073" s="490"/>
    </row>
    <row r="1074" spans="1:9">
      <c r="A1074" s="402"/>
      <c r="B1074" s="402"/>
      <c r="C1074" s="402"/>
      <c r="I1074" s="490"/>
    </row>
    <row r="1075" spans="1:9">
      <c r="A1075" s="1827" t="s">
        <v>1803</v>
      </c>
      <c r="B1075" s="1827"/>
      <c r="C1075" s="1827"/>
      <c r="D1075" s="1827"/>
      <c r="E1075" s="1827"/>
      <c r="F1075" s="1827"/>
      <c r="G1075" s="1827"/>
      <c r="H1075" s="1023"/>
      <c r="I1075" s="1147"/>
    </row>
    <row r="1076" spans="1:9">
      <c r="A1076" s="402"/>
      <c r="B1076" s="402"/>
      <c r="C1076" s="402"/>
      <c r="I1076" s="490"/>
    </row>
    <row r="1077" spans="1:9">
      <c r="A1077" s="402"/>
      <c r="B1077" s="402"/>
      <c r="C1077" s="402"/>
      <c r="I1077" s="490"/>
    </row>
    <row r="1078" spans="1:9">
      <c r="A1078" s="402"/>
      <c r="B1078" s="485" t="s">
        <v>2776</v>
      </c>
      <c r="C1078" s="402"/>
      <c r="D1078" s="527" t="s">
        <v>1806</v>
      </c>
      <c r="I1078" s="490"/>
    </row>
    <row r="1079" spans="1:9">
      <c r="A1079" s="402"/>
      <c r="B1079" s="402"/>
      <c r="C1079" s="402"/>
      <c r="D1079" s="527" t="s">
        <v>2617</v>
      </c>
      <c r="I1079" s="490"/>
    </row>
    <row r="1080" spans="1:9">
      <c r="A1080" s="402"/>
      <c r="B1080" s="402"/>
      <c r="C1080" s="402"/>
      <c r="D1080" s="527"/>
      <c r="I1080" s="490"/>
    </row>
    <row r="1081" spans="1:9">
      <c r="A1081" s="402"/>
      <c r="B1081" s="485" t="s">
        <v>2765</v>
      </c>
      <c r="C1081" s="402"/>
      <c r="D1081" s="1271" t="s">
        <v>2610</v>
      </c>
      <c r="E1081" s="1271"/>
      <c r="F1081" s="1271"/>
      <c r="I1081" s="490"/>
    </row>
    <row r="1082" spans="1:9">
      <c r="A1082" s="402"/>
      <c r="B1082" s="402"/>
      <c r="C1082" s="402"/>
      <c r="D1082" s="1271"/>
      <c r="E1082" s="1271"/>
      <c r="F1082" s="1271"/>
      <c r="I1082" s="490"/>
    </row>
    <row r="1083" spans="1:9">
      <c r="A1083" s="402"/>
      <c r="B1083" s="402"/>
      <c r="C1083" s="402"/>
      <c r="D1083" s="527" t="s">
        <v>2609</v>
      </c>
      <c r="I1083" s="490"/>
    </row>
    <row r="1084" spans="1:9">
      <c r="A1084" s="402"/>
      <c r="B1084" s="402"/>
      <c r="C1084" s="402"/>
      <c r="D1084" s="527"/>
      <c r="I1084" s="490"/>
    </row>
    <row r="1085" spans="1:9">
      <c r="A1085" s="402"/>
      <c r="B1085" s="485" t="s">
        <v>2765</v>
      </c>
      <c r="C1085" s="402"/>
      <c r="D1085" s="119" t="s">
        <v>2618</v>
      </c>
      <c r="I1085" s="490"/>
    </row>
    <row r="1086" spans="1:9">
      <c r="A1086" s="402"/>
      <c r="B1086" s="402"/>
      <c r="C1086" s="402"/>
      <c r="D1086" s="1422" t="s">
        <v>2620</v>
      </c>
      <c r="E1086" s="1422"/>
      <c r="F1086" s="1422"/>
      <c r="I1086" s="490"/>
    </row>
    <row r="1087" spans="1:9">
      <c r="A1087" s="402"/>
      <c r="B1087" s="402"/>
      <c r="C1087" s="402"/>
      <c r="D1087" s="1422"/>
      <c r="E1087" s="1422"/>
      <c r="F1087" s="1422"/>
      <c r="I1087" s="490"/>
    </row>
    <row r="1088" spans="1:9">
      <c r="A1088" s="402"/>
      <c r="B1088" s="402"/>
      <c r="C1088" s="402"/>
      <c r="D1088" s="1422"/>
      <c r="E1088" s="1422"/>
      <c r="F1088" s="1422"/>
      <c r="I1088" s="490"/>
    </row>
    <row r="1089" spans="1:9">
      <c r="A1089" s="402"/>
      <c r="B1089" s="402"/>
      <c r="C1089" s="402"/>
      <c r="D1089" s="1422"/>
      <c r="E1089" s="1422"/>
      <c r="F1089" s="1422"/>
      <c r="I1089" s="490"/>
    </row>
    <row r="1090" spans="1:9">
      <c r="A1090" s="402"/>
      <c r="B1090" s="402"/>
      <c r="C1090" s="402"/>
      <c r="D1090" s="119" t="s">
        <v>2619</v>
      </c>
      <c r="I1090" s="490"/>
    </row>
    <row r="1091" spans="1:9">
      <c r="A1091" s="402"/>
      <c r="B1091" s="402"/>
      <c r="C1091" s="402"/>
      <c r="D1091" s="119"/>
      <c r="I1091" s="490"/>
    </row>
    <row r="1092" spans="1:9">
      <c r="A1092" s="402"/>
      <c r="B1092" s="402"/>
      <c r="C1092" s="402"/>
      <c r="D1092" s="527" t="s">
        <v>1804</v>
      </c>
      <c r="I1092" s="490"/>
    </row>
    <row r="1093" spans="1:9">
      <c r="A1093" s="402"/>
      <c r="B1093" s="485" t="s">
        <v>2765</v>
      </c>
      <c r="C1093" s="402"/>
      <c r="D1093" s="1834" t="s">
        <v>1805</v>
      </c>
      <c r="E1093" s="1834"/>
      <c r="F1093" s="1834"/>
      <c r="I1093" s="490"/>
    </row>
    <row r="1094" spans="1:9">
      <c r="A1094" s="402"/>
      <c r="B1094" s="402"/>
      <c r="C1094" s="402"/>
      <c r="D1094" s="1834"/>
      <c r="E1094" s="1834"/>
      <c r="F1094" s="1834"/>
      <c r="I1094" s="490"/>
    </row>
    <row r="1095" spans="1:9">
      <c r="A1095" s="402"/>
      <c r="B1095" s="402"/>
      <c r="C1095" s="402"/>
      <c r="D1095" s="1834"/>
      <c r="E1095" s="1834"/>
      <c r="F1095" s="1834"/>
      <c r="I1095" s="490"/>
    </row>
    <row r="1096" spans="1:9">
      <c r="A1096" s="402"/>
      <c r="B1096" s="402"/>
      <c r="C1096" s="402"/>
      <c r="D1096" s="1834"/>
      <c r="E1096" s="1834"/>
      <c r="F1096" s="1834"/>
      <c r="I1096" s="490"/>
    </row>
    <row r="1097" spans="1:9">
      <c r="A1097" s="402"/>
      <c r="B1097" s="402"/>
      <c r="C1097" s="402"/>
      <c r="D1097" s="1834"/>
      <c r="E1097" s="1834"/>
      <c r="F1097" s="1834"/>
      <c r="I1097" s="490"/>
    </row>
    <row r="1098" spans="1:9">
      <c r="A1098" s="402"/>
      <c r="B1098" s="402"/>
      <c r="C1098" s="402"/>
      <c r="D1098" s="527" t="s">
        <v>2621</v>
      </c>
      <c r="I1098" s="490"/>
    </row>
    <row r="1099" spans="1:9">
      <c r="A1099" s="402"/>
      <c r="B1099" s="402"/>
      <c r="C1099" s="402"/>
      <c r="I1099" s="490"/>
    </row>
    <row r="1100" spans="1:9">
      <c r="A1100" s="402"/>
      <c r="B1100" s="485" t="s">
        <v>2765</v>
      </c>
      <c r="C1100" s="402"/>
      <c r="D1100" s="1817" t="s">
        <v>2220</v>
      </c>
      <c r="E1100" s="1817"/>
      <c r="F1100" s="1817"/>
      <c r="I1100" s="490"/>
    </row>
    <row r="1101" spans="1:9">
      <c r="A1101" s="402"/>
      <c r="B1101" s="402"/>
      <c r="C1101" s="402"/>
      <c r="D1101" s="1817"/>
      <c r="E1101" s="1817"/>
      <c r="F1101" s="1817"/>
      <c r="I1101" s="490"/>
    </row>
    <row r="1102" spans="1:9">
      <c r="A1102" s="402"/>
      <c r="B1102" s="402"/>
      <c r="C1102" s="402"/>
      <c r="D1102" s="1817"/>
      <c r="E1102" s="1817"/>
      <c r="F1102" s="1817"/>
      <c r="I1102" s="490"/>
    </row>
    <row r="1103" spans="1:9">
      <c r="A1103" s="402"/>
      <c r="B1103" s="402"/>
      <c r="C1103" s="402"/>
      <c r="I1103" s="490"/>
    </row>
    <row r="1104" spans="1:9">
      <c r="A1104" s="1827" t="s">
        <v>1807</v>
      </c>
      <c r="B1104" s="1827"/>
      <c r="C1104" s="1827"/>
      <c r="D1104" s="1827"/>
      <c r="E1104" s="1827"/>
      <c r="F1104" s="1827"/>
      <c r="G1104" s="1827"/>
      <c r="H1104" s="1023"/>
      <c r="I1104" s="1147"/>
    </row>
    <row r="1105" spans="1:9">
      <c r="A1105" s="402"/>
      <c r="B1105" s="402"/>
      <c r="C1105" s="402"/>
      <c r="I1105" s="490"/>
    </row>
    <row r="1106" spans="1:9">
      <c r="A1106" s="402"/>
      <c r="B1106" s="402"/>
      <c r="C1106" s="402"/>
      <c r="I1106" s="490"/>
    </row>
    <row r="1107" spans="1:9" ht="12.75" customHeight="1">
      <c r="A1107" s="402"/>
      <c r="B1107" s="485" t="s">
        <v>2765</v>
      </c>
      <c r="C1107" s="402"/>
      <c r="D1107" s="1274" t="s">
        <v>1901</v>
      </c>
      <c r="E1107" s="1274"/>
      <c r="F1107" s="1274"/>
      <c r="I1107" s="490"/>
    </row>
    <row r="1108" spans="1:9">
      <c r="A1108" s="402"/>
      <c r="B1108" s="402"/>
      <c r="C1108" s="402"/>
      <c r="D1108" s="1274"/>
      <c r="E1108" s="1274"/>
      <c r="F1108" s="1274"/>
      <c r="I1108" s="490"/>
    </row>
    <row r="1109" spans="1:9">
      <c r="A1109" s="402"/>
      <c r="B1109" s="402"/>
      <c r="C1109" s="402"/>
      <c r="D1109" s="1836" t="s">
        <v>2625</v>
      </c>
      <c r="E1109" s="1422"/>
      <c r="F1109" s="1422"/>
      <c r="I1109" s="490"/>
    </row>
    <row r="1110" spans="1:9">
      <c r="A1110" s="402"/>
      <c r="B1110" s="402"/>
      <c r="C1110" s="402"/>
      <c r="D1110" s="527"/>
      <c r="I1110" s="490"/>
    </row>
    <row r="1111" spans="1:9">
      <c r="A1111" s="402"/>
      <c r="B1111" s="485" t="s">
        <v>2765</v>
      </c>
      <c r="C1111" s="402"/>
      <c r="D1111" s="1834" t="s">
        <v>2573</v>
      </c>
      <c r="E1111" s="1834"/>
      <c r="F1111" s="1834"/>
      <c r="I1111" s="490"/>
    </row>
    <row r="1112" spans="1:9">
      <c r="A1112" s="402"/>
      <c r="B1112" s="402"/>
      <c r="C1112" s="402"/>
      <c r="D1112" s="1834"/>
      <c r="E1112" s="1834"/>
      <c r="F1112" s="1834"/>
      <c r="I1112" s="490"/>
    </row>
    <row r="1113" spans="1:9">
      <c r="A1113" s="402"/>
      <c r="B1113" s="402"/>
      <c r="C1113" s="402"/>
      <c r="D1113" s="1834"/>
      <c r="E1113" s="1834"/>
      <c r="F1113" s="1834"/>
      <c r="I1113" s="490"/>
    </row>
    <row r="1114" spans="1:9">
      <c r="A1114" s="402"/>
      <c r="B1114" s="402"/>
      <c r="C1114" s="402"/>
      <c r="D1114" s="527"/>
      <c r="I1114" s="490"/>
    </row>
    <row r="1115" spans="1:9">
      <c r="A1115" s="402"/>
      <c r="B1115" s="485" t="s">
        <v>2765</v>
      </c>
      <c r="C1115" s="402"/>
      <c r="D1115" s="1834" t="s">
        <v>2592</v>
      </c>
      <c r="E1115" s="1834"/>
      <c r="F1115" s="1834"/>
      <c r="I1115" s="490"/>
    </row>
    <row r="1116" spans="1:9">
      <c r="A1116" s="402"/>
      <c r="B1116" s="402"/>
      <c r="C1116" s="402"/>
      <c r="D1116" s="1834"/>
      <c r="E1116" s="1834"/>
      <c r="F1116" s="1834"/>
      <c r="I1116" s="490"/>
    </row>
    <row r="1117" spans="1:9">
      <c r="A1117" s="402"/>
      <c r="B1117" s="402"/>
      <c r="C1117" s="402"/>
      <c r="D1117" s="1834"/>
      <c r="E1117" s="1834"/>
      <c r="F1117" s="1834"/>
      <c r="I1117" s="490"/>
    </row>
    <row r="1118" spans="1:9">
      <c r="A1118" s="402"/>
      <c r="B1118" s="402"/>
      <c r="C1118" s="402"/>
      <c r="D1118" s="1834"/>
      <c r="E1118" s="1834"/>
      <c r="F1118" s="1834"/>
      <c r="I1118" s="490"/>
    </row>
    <row r="1119" spans="1:9">
      <c r="A1119" s="402"/>
      <c r="B1119" s="402"/>
      <c r="C1119" s="402"/>
      <c r="D1119" s="1834"/>
      <c r="E1119" s="1834"/>
      <c r="F1119" s="1834"/>
      <c r="I1119" s="490"/>
    </row>
    <row r="1120" spans="1:9">
      <c r="A1120" s="402"/>
      <c r="B1120" s="402"/>
      <c r="C1120" s="402"/>
      <c r="D1120" s="527"/>
      <c r="I1120" s="480"/>
    </row>
    <row r="1121" spans="1:9">
      <c r="A1121" s="402"/>
      <c r="B1121" s="485" t="s">
        <v>2765</v>
      </c>
      <c r="C1121" s="402"/>
      <c r="D1121" s="1834" t="s">
        <v>1808</v>
      </c>
      <c r="E1121" s="1834"/>
      <c r="F1121" s="1834"/>
      <c r="I1121" s="490"/>
    </row>
    <row r="1122" spans="1:9">
      <c r="A1122" s="402"/>
      <c r="B1122" s="402"/>
      <c r="C1122" s="402"/>
      <c r="D1122" s="1834"/>
      <c r="E1122" s="1834"/>
      <c r="F1122" s="1834"/>
      <c r="I1122" s="490"/>
    </row>
    <row r="1123" spans="1:9">
      <c r="A1123" s="402"/>
      <c r="B1123" s="402"/>
      <c r="C1123" s="402"/>
      <c r="D1123" s="1834"/>
      <c r="E1123" s="1834"/>
      <c r="F1123" s="1834"/>
      <c r="I1123" s="490"/>
    </row>
    <row r="1124" spans="1:9">
      <c r="A1124" s="402"/>
      <c r="B1124" s="402"/>
      <c r="C1124" s="402"/>
      <c r="D1124" s="527"/>
      <c r="I1124" s="490"/>
    </row>
    <row r="1125" spans="1:9">
      <c r="A1125" s="402"/>
      <c r="B1125" s="485" t="s">
        <v>2776</v>
      </c>
      <c r="C1125" s="402"/>
      <c r="D1125" s="1320" t="s">
        <v>1860</v>
      </c>
      <c r="E1125" s="1320"/>
      <c r="F1125" s="1320"/>
      <c r="I1125" s="490"/>
    </row>
    <row r="1126" spans="1:9">
      <c r="A1126" s="402"/>
      <c r="B1126" s="402"/>
      <c r="C1126" s="402"/>
      <c r="D1126" s="1320"/>
      <c r="E1126" s="1320"/>
      <c r="F1126" s="1320"/>
      <c r="I1126" s="490"/>
    </row>
    <row r="1127" spans="1:9">
      <c r="A1127" s="402"/>
      <c r="B1127" s="402"/>
      <c r="C1127" s="402"/>
      <c r="D1127" s="1320"/>
      <c r="E1127" s="1320"/>
      <c r="F1127" s="1320"/>
      <c r="I1127" s="490"/>
    </row>
    <row r="1128" spans="1:9">
      <c r="A1128" s="402"/>
      <c r="B1128" s="402"/>
      <c r="C1128" s="402"/>
      <c r="D1128" s="975"/>
      <c r="E1128" s="975"/>
      <c r="F1128" s="975"/>
      <c r="I1128" s="490"/>
    </row>
    <row r="1129" spans="1:9" ht="15.75" customHeight="1">
      <c r="A1129" s="402"/>
      <c r="B1129" s="485" t="s">
        <v>2765</v>
      </c>
      <c r="C1129" s="402"/>
      <c r="D1129" s="1422" t="s">
        <v>1861</v>
      </c>
      <c r="E1129" s="1422"/>
      <c r="F1129" s="1422"/>
      <c r="I1129" s="490"/>
    </row>
    <row r="1130" spans="1:9">
      <c r="A1130" s="402"/>
      <c r="B1130" s="402"/>
      <c r="C1130" s="402"/>
      <c r="D1130" s="1422"/>
      <c r="E1130" s="1422"/>
      <c r="F1130" s="1422"/>
      <c r="I1130" s="490"/>
    </row>
    <row r="1131" spans="1:9">
      <c r="A1131" s="402"/>
      <c r="B1131" s="402"/>
      <c r="C1131" s="402"/>
      <c r="D1131" s="1422"/>
      <c r="E1131" s="1422"/>
      <c r="F1131" s="1422"/>
      <c r="I1131" s="490"/>
    </row>
    <row r="1132" spans="1:9">
      <c r="A1132" s="402"/>
      <c r="B1132" s="402"/>
      <c r="C1132" s="402"/>
      <c r="D1132" s="1422"/>
      <c r="E1132" s="1422"/>
      <c r="F1132" s="1422"/>
      <c r="I1132" s="490"/>
    </row>
    <row r="1133" spans="1:9">
      <c r="A1133" s="402"/>
      <c r="B1133" s="402"/>
      <c r="C1133" s="402"/>
      <c r="D1133" s="975"/>
      <c r="E1133" s="975"/>
      <c r="F1133" s="975"/>
      <c r="I1133" s="490"/>
    </row>
    <row r="1134" spans="1:9">
      <c r="A1134" s="402"/>
      <c r="B1134" s="485" t="s">
        <v>2765</v>
      </c>
      <c r="C1134" s="402"/>
      <c r="D1134" s="1320" t="s">
        <v>2602</v>
      </c>
      <c r="E1134" s="1320"/>
      <c r="F1134" s="1320"/>
      <c r="I1134" s="490"/>
    </row>
    <row r="1135" spans="1:9">
      <c r="A1135" s="402"/>
      <c r="B1135" s="402"/>
      <c r="C1135" s="402"/>
      <c r="D1135" s="1320"/>
      <c r="E1135" s="1320"/>
      <c r="F1135" s="1320"/>
      <c r="I1135" s="490"/>
    </row>
    <row r="1136" spans="1:9">
      <c r="A1136" s="402"/>
      <c r="B1136" s="402"/>
      <c r="C1136" s="402"/>
      <c r="D1136" s="1320"/>
      <c r="E1136" s="1320"/>
      <c r="F1136" s="1320"/>
      <c r="I1136" s="490"/>
    </row>
    <row r="1137" spans="1:9">
      <c r="A1137" s="402"/>
      <c r="B1137" s="402"/>
      <c r="C1137" s="402"/>
      <c r="D1137" s="1320"/>
      <c r="E1137" s="1320"/>
      <c r="F1137" s="1320"/>
      <c r="I1137" s="490"/>
    </row>
    <row r="1138" spans="1:9">
      <c r="A1138" s="402"/>
      <c r="B1138" s="402"/>
      <c r="C1138" s="402"/>
      <c r="D1138" s="1320"/>
      <c r="E1138" s="1320"/>
      <c r="F1138" s="1320"/>
      <c r="I1138" s="490"/>
    </row>
    <row r="1139" spans="1:9">
      <c r="A1139" s="402"/>
      <c r="B1139" s="402"/>
      <c r="C1139" s="402"/>
      <c r="D1139" s="1320"/>
      <c r="E1139" s="1320"/>
      <c r="F1139" s="1320"/>
      <c r="I1139" s="490"/>
    </row>
    <row r="1140" spans="1:9">
      <c r="A1140" s="402"/>
      <c r="B1140" s="402"/>
      <c r="C1140" s="402"/>
      <c r="D1140" s="975"/>
      <c r="E1140" s="975"/>
      <c r="F1140" s="975"/>
      <c r="I1140" s="490"/>
    </row>
    <row r="1141" spans="1:9">
      <c r="A1141" s="402"/>
      <c r="B1141" s="485" t="s">
        <v>2765</v>
      </c>
      <c r="C1141" s="402"/>
      <c r="D1141" s="1835" t="s">
        <v>2574</v>
      </c>
      <c r="E1141" s="1835"/>
      <c r="F1141" s="1835"/>
      <c r="I1141" s="1153"/>
    </row>
    <row r="1142" spans="1:9">
      <c r="A1142" s="402"/>
      <c r="B1142" s="402"/>
      <c r="C1142" s="402"/>
      <c r="D1142" s="1835"/>
      <c r="E1142" s="1835"/>
      <c r="F1142" s="1835"/>
      <c r="I1142" s="490"/>
    </row>
    <row r="1143" spans="1:9">
      <c r="A1143" s="402"/>
      <c r="B1143" s="402"/>
      <c r="C1143" s="402"/>
      <c r="D1143" s="1835"/>
      <c r="E1143" s="1835"/>
      <c r="F1143" s="1835"/>
    </row>
    <row r="1144" spans="1:9">
      <c r="A1144" s="402"/>
      <c r="B1144" s="402"/>
      <c r="C1144" s="402"/>
      <c r="D1144" s="1835"/>
      <c r="E1144" s="1835"/>
      <c r="F1144" s="1835"/>
    </row>
    <row r="1145" spans="1:9">
      <c r="A1145" s="402"/>
      <c r="B1145" s="402"/>
      <c r="C1145" s="402"/>
      <c r="D1145" s="1835"/>
      <c r="E1145" s="1835"/>
      <c r="F1145" s="1835"/>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42"/>
      <c r="H1553" s="1842"/>
      <c r="I1553" s="1842"/>
    </row>
  </sheetData>
  <sheetProtection algorithmName="SHA-512" hashValue="Ww32tdGca5c0RC8tWipYA12kLcv2BMeSdvtHpK0/m2dgR2d1hqQFWOx/1yutMHu3wGkTSUgDycnCPDLQoR1tjQ==" saltValue="SH84useKQv3eVswAYtO3qQ==" spinCount="100000" sheet="1" objects="1" scenarios="1"/>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abSelected="1" topLeftCell="A626" zoomScaleNormal="100" workbookViewId="0">
      <selection activeCell="AO639" sqref="AO639:AS639"/>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2419</v>
      </c>
      <c r="BE1" s="3"/>
      <c r="BF1" s="3"/>
    </row>
    <row r="2" spans="1:58" ht="12.95" customHeight="1">
      <c r="BD2" s="3" t="s">
        <v>2420</v>
      </c>
      <c r="BE2" s="3" t="s">
        <v>2421</v>
      </c>
      <c r="BF2" s="3" t="s">
        <v>2422</v>
      </c>
    </row>
    <row r="3" spans="1:58" ht="12.95" customHeight="1">
      <c r="BD3" s="3" t="s">
        <v>2514</v>
      </c>
      <c r="BE3" t="str">
        <f>AC220</f>
        <v>City of Los Angeles</v>
      </c>
    </row>
    <row r="4" spans="1:58" ht="12.95" customHeight="1">
      <c r="BD4" s="3" t="s">
        <v>2429</v>
      </c>
      <c r="BE4" s="1180"/>
    </row>
    <row r="5" spans="1:58" ht="12.95" customHeight="1">
      <c r="BD5" s="3" t="s">
        <v>2430</v>
      </c>
      <c r="BE5">
        <f>SUMIF($AC$726:$AC$760,"&lt;=20%",$G$726:G$760)</f>
        <v>0</v>
      </c>
      <c r="BF5" s="3" t="s">
        <v>2435</v>
      </c>
    </row>
    <row r="6" spans="1:58" ht="12.95" customHeight="1">
      <c r="BD6" s="3" t="s">
        <v>2431</v>
      </c>
      <c r="BE6" s="1183">
        <f>SUMIF($AC$726:$AC$760,"&lt;=25%",$G$726:G$760)-SUM($BE$5:BE5)</f>
        <v>0</v>
      </c>
    </row>
    <row r="7" spans="1:58" ht="12.95" customHeight="1">
      <c r="BD7" s="1181" t="s">
        <v>2423</v>
      </c>
      <c r="BE7" s="1183">
        <f>SUMIF($AC$726:$AC$760,"&lt;=30%",$G$726:G$760)-SUM($BE$5:BE6)</f>
        <v>21</v>
      </c>
    </row>
    <row r="8" spans="1:58" ht="26.25" customHeight="1">
      <c r="A8" s="1418" t="s">
        <v>100</v>
      </c>
      <c r="B8" s="1418"/>
      <c r="C8" s="1418"/>
      <c r="D8" s="1418"/>
      <c r="E8" s="1418"/>
      <c r="F8" s="1418"/>
      <c r="G8" s="1418"/>
      <c r="H8" s="1418"/>
      <c r="I8" s="1418"/>
      <c r="J8" s="1418"/>
      <c r="K8" s="1418"/>
      <c r="L8" s="1418"/>
      <c r="M8" s="1418"/>
      <c r="N8" s="1418"/>
      <c r="O8" s="1418"/>
      <c r="P8" s="1418"/>
      <c r="Q8" s="1418"/>
      <c r="R8" s="1418"/>
      <c r="S8" s="1418"/>
      <c r="T8" s="1418"/>
      <c r="U8" s="1418"/>
      <c r="V8" s="1418"/>
      <c r="W8" s="1418"/>
      <c r="X8" s="1418"/>
      <c r="Y8" s="1418"/>
      <c r="Z8" s="1418"/>
      <c r="AA8" s="1418"/>
      <c r="AB8" s="1418"/>
      <c r="AC8" s="1418"/>
      <c r="AD8" s="1418"/>
      <c r="AE8" s="1418"/>
      <c r="AF8" s="1418"/>
      <c r="AG8" s="1418"/>
      <c r="AH8" s="1418"/>
      <c r="AI8" s="1418"/>
      <c r="AJ8" s="1418"/>
      <c r="AK8" s="1418"/>
      <c r="AL8" s="1418"/>
      <c r="AM8" s="1418"/>
      <c r="AN8" s="1418"/>
      <c r="AO8" s="1418"/>
      <c r="AP8" s="1418"/>
      <c r="AQ8" s="1418"/>
      <c r="AR8" s="1418"/>
      <c r="AS8" s="1418"/>
      <c r="AT8" s="1418"/>
      <c r="AU8" s="894"/>
      <c r="AV8" s="894"/>
      <c r="AW8" s="894"/>
      <c r="AX8" s="894"/>
      <c r="AY8" s="894"/>
      <c r="BD8" s="3" t="s">
        <v>2432</v>
      </c>
      <c r="BE8" s="1183">
        <f>SUMIF($AC$726:$AC$760,"&lt;=35%",$G$726:G$760)-SUM($BE$5:BE7)</f>
        <v>0</v>
      </c>
    </row>
    <row r="9" spans="1:58" ht="12.95" customHeight="1">
      <c r="A9" s="1329" t="s">
        <v>2031</v>
      </c>
      <c r="B9" s="1329"/>
      <c r="C9" s="1329"/>
      <c r="D9" s="1329"/>
      <c r="E9" s="1329"/>
      <c r="F9" s="1329"/>
      <c r="G9" s="1329"/>
      <c r="H9" s="1329"/>
      <c r="I9" s="1329"/>
      <c r="J9" s="1329"/>
      <c r="K9" s="1329"/>
      <c r="L9" s="1329"/>
      <c r="M9" s="1329"/>
      <c r="N9" s="1329"/>
      <c r="O9" s="1329"/>
      <c r="P9" s="1329"/>
      <c r="Q9" s="1329"/>
      <c r="R9" s="1329"/>
      <c r="S9" s="1329"/>
      <c r="T9" s="1329"/>
      <c r="U9" s="1329"/>
      <c r="V9" s="1329"/>
      <c r="W9" s="1329"/>
      <c r="X9" s="1329"/>
      <c r="Y9" s="1329"/>
      <c r="Z9" s="1329"/>
      <c r="AA9" s="1329"/>
      <c r="AB9" s="1329"/>
      <c r="AC9" s="1329"/>
      <c r="AD9" s="1329"/>
      <c r="AE9" s="1329"/>
      <c r="AF9" s="1329"/>
      <c r="AG9" s="1329"/>
      <c r="AH9" s="1329"/>
      <c r="AI9" s="1329"/>
      <c r="AJ9" s="1329"/>
      <c r="AK9" s="1329"/>
      <c r="AL9" s="1329"/>
      <c r="AM9" s="1329"/>
      <c r="AN9" s="1329"/>
      <c r="AO9" s="1329"/>
      <c r="AP9" s="1329"/>
      <c r="AQ9" s="1329"/>
      <c r="AR9" s="1329"/>
      <c r="AS9" s="1329"/>
      <c r="AT9" s="1329"/>
      <c r="AU9" s="13"/>
      <c r="AV9" s="13"/>
      <c r="AW9" s="13"/>
      <c r="AX9" s="13"/>
      <c r="AY9" s="13"/>
      <c r="BD9" s="1182" t="s">
        <v>2424</v>
      </c>
      <c r="BE9" s="1183">
        <f>SUMIF($AC$726:$AC$760,"&lt;=40%",$G$726:G$760)-SUM($BE$5:BE8)</f>
        <v>0</v>
      </c>
    </row>
    <row r="10" spans="1:58" ht="12.95" customHeight="1">
      <c r="A10" s="1329" t="s">
        <v>2594</v>
      </c>
      <c r="B10" s="1329"/>
      <c r="C10" s="1329"/>
      <c r="D10" s="1329"/>
      <c r="E10" s="1329"/>
      <c r="F10" s="1329"/>
      <c r="G10" s="1329"/>
      <c r="H10" s="1329"/>
      <c r="I10" s="1329"/>
      <c r="J10" s="1329"/>
      <c r="K10" s="1329"/>
      <c r="L10" s="1329"/>
      <c r="M10" s="1329"/>
      <c r="N10" s="1329"/>
      <c r="O10" s="1329"/>
      <c r="P10" s="1329"/>
      <c r="Q10" s="1329"/>
      <c r="R10" s="1329"/>
      <c r="S10" s="1329"/>
      <c r="T10" s="1329"/>
      <c r="U10" s="1329"/>
      <c r="V10" s="1329"/>
      <c r="W10" s="1329"/>
      <c r="X10" s="1329"/>
      <c r="Y10" s="1329"/>
      <c r="Z10" s="1329"/>
      <c r="AA10" s="1329"/>
      <c r="AB10" s="1329"/>
      <c r="AC10" s="1329"/>
      <c r="AD10" s="1329"/>
      <c r="AE10" s="1329"/>
      <c r="AF10" s="1329"/>
      <c r="AG10" s="1329"/>
      <c r="AH10" s="1329"/>
      <c r="AI10" s="1329"/>
      <c r="AJ10" s="1329"/>
      <c r="AK10" s="1329"/>
      <c r="AL10" s="1329"/>
      <c r="AM10" s="1329"/>
      <c r="AN10" s="1329"/>
      <c r="AO10" s="1329"/>
      <c r="AP10" s="1329"/>
      <c r="AQ10" s="1329"/>
      <c r="AR10" s="1329"/>
      <c r="AS10" s="1329"/>
      <c r="AT10" s="1329"/>
      <c r="AU10" s="13"/>
      <c r="AV10" s="13"/>
      <c r="AW10" s="13"/>
      <c r="AX10" s="13"/>
      <c r="AY10" s="13"/>
      <c r="BD10" s="3" t="s">
        <v>2433</v>
      </c>
      <c r="BE10" s="1183">
        <f>SUMIF($AC$726:$AC$760,"&lt;=45%",$G$726:G$760)-SUM($BE$5:BE9)</f>
        <v>0</v>
      </c>
    </row>
    <row r="11" spans="1:58" ht="12.95" customHeight="1">
      <c r="A11" s="1329" t="s">
        <v>2522</v>
      </c>
      <c r="B11" s="1329"/>
      <c r="C11" s="1329"/>
      <c r="D11" s="1329"/>
      <c r="E11" s="1329"/>
      <c r="F11" s="1329"/>
      <c r="G11" s="1329"/>
      <c r="H11" s="1329"/>
      <c r="I11" s="1329"/>
      <c r="J11" s="1329"/>
      <c r="K11" s="1329"/>
      <c r="L11" s="1329"/>
      <c r="M11" s="1329"/>
      <c r="N11" s="1329"/>
      <c r="O11" s="1329"/>
      <c r="P11" s="1329"/>
      <c r="Q11" s="1329"/>
      <c r="R11" s="1329"/>
      <c r="S11" s="1329"/>
      <c r="T11" s="1329"/>
      <c r="U11" s="1329"/>
      <c r="V11" s="1329"/>
      <c r="W11" s="1329"/>
      <c r="X11" s="1329"/>
      <c r="Y11" s="1329"/>
      <c r="Z11" s="1329"/>
      <c r="AA11" s="1329"/>
      <c r="AB11" s="1329"/>
      <c r="AC11" s="1329"/>
      <c r="AD11" s="1329"/>
      <c r="AE11" s="1329"/>
      <c r="AF11" s="1329"/>
      <c r="AG11" s="1329"/>
      <c r="AH11" s="1329"/>
      <c r="AI11" s="1329"/>
      <c r="AJ11" s="1329"/>
      <c r="AK11" s="1329"/>
      <c r="AL11" s="1329"/>
      <c r="AM11" s="1329"/>
      <c r="AN11" s="1329"/>
      <c r="AO11" s="1329"/>
      <c r="AP11" s="1329"/>
      <c r="AQ11" s="1329"/>
      <c r="AR11" s="1329"/>
      <c r="AS11" s="1329"/>
      <c r="AT11" s="1329"/>
      <c r="AU11" s="13"/>
      <c r="AV11" s="13"/>
      <c r="AW11" s="13"/>
      <c r="AX11" s="13"/>
      <c r="AY11" s="13"/>
      <c r="BD11" s="1181" t="s">
        <v>2425</v>
      </c>
      <c r="BE11" s="1183">
        <f>SUMIF($AC$726:$AC$760,"&lt;=50%",$G$726:G$760)-SUM($BE$5:BE10)</f>
        <v>41</v>
      </c>
    </row>
    <row r="12" spans="1:58" ht="12.95" customHeight="1">
      <c r="A12" s="1419" t="s">
        <v>2629</v>
      </c>
      <c r="B12" s="1419"/>
      <c r="C12" s="1419"/>
      <c r="D12" s="1419"/>
      <c r="E12" s="1419"/>
      <c r="F12" s="1419"/>
      <c r="G12" s="1419"/>
      <c r="H12" s="1419"/>
      <c r="I12" s="1419"/>
      <c r="J12" s="1419"/>
      <c r="K12" s="1419"/>
      <c r="L12" s="1419"/>
      <c r="M12" s="1419"/>
      <c r="N12" s="1419"/>
      <c r="O12" s="1419"/>
      <c r="P12" s="1419"/>
      <c r="Q12" s="1419"/>
      <c r="R12" s="1419"/>
      <c r="S12" s="1419"/>
      <c r="T12" s="1419"/>
      <c r="U12" s="1419"/>
      <c r="V12" s="1419"/>
      <c r="W12" s="1419"/>
      <c r="X12" s="1419"/>
      <c r="Y12" s="1419"/>
      <c r="Z12" s="1419"/>
      <c r="AA12" s="1419"/>
      <c r="AB12" s="1419"/>
      <c r="AC12" s="1419"/>
      <c r="AD12" s="1419"/>
      <c r="AE12" s="1419"/>
      <c r="AF12" s="1419"/>
      <c r="AG12" s="1419"/>
      <c r="AH12" s="1419"/>
      <c r="AI12" s="1419"/>
      <c r="AJ12" s="1419"/>
      <c r="AK12" s="1419"/>
      <c r="AL12" s="1419"/>
      <c r="AM12" s="1419"/>
      <c r="AN12" s="1419"/>
      <c r="AO12" s="1419"/>
      <c r="AP12" s="1419"/>
      <c r="AQ12" s="1419"/>
      <c r="AR12" s="1419"/>
      <c r="AS12" s="1419"/>
      <c r="AT12" s="1419"/>
      <c r="AU12" s="6"/>
      <c r="AV12" s="6"/>
      <c r="AW12" s="6"/>
      <c r="AX12" s="6"/>
      <c r="AY12" s="6"/>
      <c r="BD12" s="3" t="s">
        <v>2434</v>
      </c>
      <c r="BE12" s="1183">
        <f>SUMIF($AC$726:$AC$760,"&lt;=55%",$G$726:G$760)-SUM($BE$5:BE11)</f>
        <v>0</v>
      </c>
    </row>
    <row r="13" spans="1:58" ht="12.95" customHeight="1">
      <c r="A13" s="1391" t="s">
        <v>2032</v>
      </c>
      <c r="B13" s="1391"/>
      <c r="C13" s="1391"/>
      <c r="D13" s="1391"/>
      <c r="E13" s="1391"/>
      <c r="F13" s="1391"/>
      <c r="G13" s="1391"/>
      <c r="H13" s="1391"/>
      <c r="I13" s="1391"/>
      <c r="J13" s="1391"/>
      <c r="K13" s="1391"/>
      <c r="L13" s="1391"/>
      <c r="M13" s="1391"/>
      <c r="N13" s="1391"/>
      <c r="O13" s="1391"/>
      <c r="P13" s="1391"/>
      <c r="Q13" s="1391"/>
      <c r="R13" s="1391"/>
      <c r="S13" s="1391"/>
      <c r="T13" s="1391"/>
      <c r="U13" s="1391"/>
      <c r="V13" s="1391"/>
      <c r="W13" s="1391"/>
      <c r="X13" s="1391"/>
      <c r="Y13" s="1391"/>
      <c r="Z13" s="1391"/>
      <c r="AA13" s="1391"/>
      <c r="AB13" s="1391"/>
      <c r="AC13" s="1391"/>
      <c r="AD13" s="1391"/>
      <c r="AE13" s="1391"/>
      <c r="AF13" s="1391"/>
      <c r="AG13" s="1391"/>
      <c r="AH13" s="1391"/>
      <c r="AI13" s="1391"/>
      <c r="AJ13" s="1391"/>
      <c r="AK13" s="1391"/>
      <c r="AL13" s="1391"/>
      <c r="AM13" s="1391"/>
      <c r="AN13" s="1391"/>
      <c r="AO13" s="1391"/>
      <c r="AP13" s="1391"/>
      <c r="AQ13" s="1391"/>
      <c r="AR13" s="1391"/>
      <c r="AS13" s="1391"/>
      <c r="AT13" s="1391"/>
      <c r="AU13" s="895"/>
      <c r="AV13" s="895"/>
      <c r="AW13" s="895"/>
      <c r="AX13" s="895"/>
      <c r="AY13" s="895"/>
      <c r="BD13" s="1182" t="s">
        <v>2426</v>
      </c>
      <c r="BE13" s="1183">
        <f>SUMIF($AC$726:$AC$760,"&lt;=60%",$G$726:G$760)-SUM($BE$5:BE12)</f>
        <v>93</v>
      </c>
    </row>
    <row r="14" spans="1:58" ht="12.95" customHeight="1">
      <c r="A14" s="1391"/>
      <c r="B14" s="1391"/>
      <c r="C14" s="1391"/>
      <c r="D14" s="1391"/>
      <c r="E14" s="1391"/>
      <c r="F14" s="1391"/>
      <c r="G14" s="1391"/>
      <c r="H14" s="1391"/>
      <c r="I14" s="1391"/>
      <c r="J14" s="1391"/>
      <c r="K14" s="1391"/>
      <c r="L14" s="1391"/>
      <c r="M14" s="1391"/>
      <c r="N14" s="1391"/>
      <c r="O14" s="1391"/>
      <c r="P14" s="1391"/>
      <c r="Q14" s="1391"/>
      <c r="R14" s="1391"/>
      <c r="S14" s="1391"/>
      <c r="T14" s="1391"/>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895"/>
      <c r="AV14" s="895"/>
      <c r="AW14" s="895"/>
      <c r="AX14" s="895"/>
      <c r="AY14" s="895"/>
      <c r="BD14" s="1181" t="s">
        <v>2427</v>
      </c>
      <c r="BE14" s="1183">
        <f>SUMIF($AC$726:$AC$760,"&lt;=70%",$G$726:G$760)-SUM($BE$5:BE13)</f>
        <v>48</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2428</v>
      </c>
      <c r="BE15" s="1183">
        <f>SUMIF($AC$726:$AC$760,"&lt;=80%",$G$726:G$760)-SUM($BE$5:BE14)</f>
        <v>0</v>
      </c>
    </row>
    <row r="16" spans="1:58" ht="12.95" customHeight="1">
      <c r="A16" s="57" t="s">
        <v>2033</v>
      </c>
      <c r="C16" s="4"/>
      <c r="D16" s="4"/>
      <c r="E16" s="4"/>
      <c r="F16" s="4"/>
      <c r="G16" s="4"/>
      <c r="H16" s="1425" t="s">
        <v>2748</v>
      </c>
      <c r="I16" s="1426"/>
      <c r="J16" s="1426"/>
      <c r="K16" s="1426"/>
      <c r="L16" s="1426"/>
      <c r="M16" s="1426"/>
      <c r="N16" s="1426"/>
      <c r="O16" s="1426"/>
      <c r="P16" s="1426"/>
      <c r="Q16" s="1426"/>
      <c r="R16" s="1426"/>
      <c r="S16" s="1426"/>
      <c r="T16" s="1426"/>
      <c r="U16" s="1426"/>
      <c r="V16" s="1426"/>
      <c r="W16" s="1426"/>
      <c r="X16" s="1426"/>
      <c r="Y16" s="1426"/>
      <c r="Z16" s="1426"/>
      <c r="AA16" s="1426"/>
      <c r="AB16" s="1426"/>
      <c r="AC16" s="1426"/>
      <c r="AD16" s="1426"/>
      <c r="AE16" s="1426"/>
      <c r="AF16" s="1426"/>
      <c r="AG16" s="1426"/>
      <c r="AH16" s="1426"/>
      <c r="AI16" s="1426"/>
      <c r="AJ16" s="1426"/>
      <c r="BD16" s="1182" t="s">
        <v>655</v>
      </c>
      <c r="BE16" s="1183" t="str">
        <f>Application!H18</f>
        <v>Borden Village</v>
      </c>
    </row>
    <row r="17" spans="1:58" ht="12.95" customHeight="1">
      <c r="BD17" s="1181" t="s">
        <v>2440</v>
      </c>
      <c r="BE17" s="1183">
        <f>Application!AA943</f>
        <v>6000000</v>
      </c>
    </row>
    <row r="18" spans="1:58" ht="12.95" customHeight="1">
      <c r="A18" s="57" t="s">
        <v>101</v>
      </c>
      <c r="C18" s="4"/>
      <c r="D18" s="4"/>
      <c r="E18" s="4"/>
      <c r="F18" s="4"/>
      <c r="G18" s="4"/>
      <c r="H18" s="1423" t="s">
        <v>2637</v>
      </c>
      <c r="I18" s="1403"/>
      <c r="J18" s="1403"/>
      <c r="K18" s="1403"/>
      <c r="L18" s="1403"/>
      <c r="M18" s="1403"/>
      <c r="N18" s="1403"/>
      <c r="O18" s="1403"/>
      <c r="P18" s="1403"/>
      <c r="Q18" s="1403"/>
      <c r="R18" s="1403"/>
      <c r="S18" s="1403"/>
      <c r="T18" s="1403"/>
      <c r="U18" s="1403"/>
      <c r="V18" s="1403"/>
      <c r="W18" s="1403"/>
      <c r="X18" s="1403"/>
      <c r="Y18" s="1403"/>
      <c r="Z18" s="1403"/>
      <c r="AA18" s="1403"/>
      <c r="AB18" s="1403"/>
      <c r="AC18" s="1403"/>
      <c r="AD18" s="1403"/>
      <c r="AE18" s="1403"/>
      <c r="AF18" s="1403"/>
      <c r="AG18" s="1403"/>
      <c r="AH18" s="1403"/>
      <c r="AI18" s="1403"/>
      <c r="AJ18" s="1403"/>
      <c r="BD18" s="1182" t="s">
        <v>2441</v>
      </c>
      <c r="BE18" s="1183">
        <f>AA943</f>
        <v>6000000</v>
      </c>
    </row>
    <row r="19" spans="1:58" ht="12.95" customHeight="1">
      <c r="BD19" s="1181" t="s">
        <v>2442</v>
      </c>
      <c r="BE19" s="1183">
        <f>Application!M26</f>
        <v>2720254</v>
      </c>
    </row>
    <row r="20" spans="1:58" ht="12.95" customHeight="1">
      <c r="A20" s="1420" t="s">
        <v>872</v>
      </c>
      <c r="B20" s="1420"/>
      <c r="C20" s="1420"/>
      <c r="D20" s="1420"/>
      <c r="E20" s="1420"/>
      <c r="F20" s="1420"/>
      <c r="G20" s="1420"/>
      <c r="H20" s="1420"/>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c r="AJ20" s="1420"/>
      <c r="AK20" s="1420"/>
      <c r="AL20" s="1420"/>
      <c r="AM20" s="1420"/>
      <c r="AN20" s="1420"/>
      <c r="AO20" s="1420"/>
      <c r="AP20" s="1420"/>
      <c r="AQ20" s="1420"/>
      <c r="AR20" s="1420"/>
      <c r="AS20" s="1420"/>
      <c r="AT20" s="1420"/>
      <c r="AU20" s="896"/>
      <c r="AV20" s="896"/>
      <c r="AW20" s="896"/>
      <c r="AX20" s="896"/>
      <c r="AY20" s="896"/>
      <c r="BD20" s="1182" t="s">
        <v>2443</v>
      </c>
      <c r="BE20" s="1183">
        <f>Application!M27</f>
        <v>0</v>
      </c>
    </row>
    <row r="21" spans="1:58" ht="12.95" customHeight="1">
      <c r="A21" s="1427" t="s">
        <v>1008</v>
      </c>
      <c r="B21" s="1427"/>
      <c r="C21" s="1427"/>
      <c r="D21" s="1427"/>
      <c r="E21" s="1427"/>
      <c r="F21" s="1427"/>
      <c r="G21" s="1427"/>
      <c r="H21" s="1427"/>
      <c r="I21" s="1427"/>
      <c r="J21" s="1427"/>
      <c r="K21" s="1427"/>
      <c r="L21" s="1427"/>
      <c r="M21" s="1427"/>
      <c r="N21" s="1427"/>
      <c r="O21" s="1427"/>
      <c r="P21" s="1427"/>
      <c r="Q21" s="1427"/>
      <c r="R21" s="1427"/>
      <c r="S21" s="1427"/>
      <c r="T21" s="1427"/>
      <c r="U21" s="1427"/>
      <c r="V21" s="1427"/>
      <c r="W21" s="1427"/>
      <c r="X21" s="1427"/>
      <c r="Y21" s="1427"/>
      <c r="Z21" s="1427"/>
      <c r="AA21" s="1427"/>
      <c r="AB21" s="1427"/>
      <c r="AC21" s="1427"/>
      <c r="AD21" s="1427"/>
      <c r="AE21" s="1427"/>
      <c r="AF21" s="1427"/>
      <c r="AG21" s="1427"/>
      <c r="AH21" s="1427"/>
      <c r="AI21" s="1427"/>
      <c r="AJ21" s="1427"/>
      <c r="AK21" s="1427"/>
      <c r="AL21" s="1427"/>
      <c r="AM21" s="897"/>
      <c r="AN21" s="897"/>
      <c r="AO21" s="897"/>
      <c r="AP21" s="897"/>
      <c r="AQ21" s="897"/>
      <c r="AR21" s="897"/>
      <c r="AS21" s="897"/>
      <c r="AT21" s="897"/>
      <c r="AU21" s="897"/>
      <c r="AV21" s="897"/>
      <c r="AW21" s="897"/>
      <c r="AX21" s="897"/>
      <c r="AY21" s="897"/>
      <c r="BD21" s="1181" t="s">
        <v>2444</v>
      </c>
      <c r="BE21" s="1183">
        <f>Application!AM562</f>
        <v>15758208</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62606754</v>
      </c>
      <c r="BF22" s="3" t="s">
        <v>2515</v>
      </c>
    </row>
    <row r="23" spans="1:58" ht="12.95" customHeight="1">
      <c r="A23" s="1274" t="s">
        <v>2099</v>
      </c>
      <c r="B23" s="1274"/>
      <c r="C23" s="1274"/>
      <c r="D23" s="1274"/>
      <c r="E23" s="1274"/>
      <c r="F23" s="1274"/>
      <c r="G23" s="1274"/>
      <c r="H23" s="1274"/>
      <c r="I23" s="1274"/>
      <c r="J23" s="1274"/>
      <c r="K23" s="1274"/>
      <c r="L23" s="1274"/>
      <c r="M23" s="1274"/>
      <c r="N23" s="1274"/>
      <c r="O23" s="1274"/>
      <c r="P23" s="1274"/>
      <c r="Q23" s="1274"/>
      <c r="R23" s="1274"/>
      <c r="S23" s="1274"/>
      <c r="T23" s="1274"/>
      <c r="U23" s="1274"/>
      <c r="V23" s="1274"/>
      <c r="W23" s="1274"/>
      <c r="X23" s="1274"/>
      <c r="Y23" s="1274"/>
      <c r="Z23" s="1274"/>
      <c r="AA23" s="1274"/>
      <c r="AB23" s="1274"/>
      <c r="AC23" s="1274"/>
      <c r="AD23" s="1274"/>
      <c r="AE23" s="1274"/>
      <c r="AF23" s="1274"/>
      <c r="AG23" s="1274"/>
      <c r="AH23" s="1274"/>
      <c r="AI23" s="1274"/>
      <c r="AJ23" s="1274"/>
      <c r="AK23" s="1274"/>
      <c r="AL23" s="1274"/>
      <c r="AM23" s="1274"/>
      <c r="AN23" s="1274"/>
      <c r="AO23" s="1274"/>
      <c r="AP23" s="1274"/>
      <c r="AQ23" s="1274"/>
      <c r="AR23" s="1274"/>
      <c r="AS23" s="1274"/>
      <c r="AT23" s="1274"/>
      <c r="AU23" s="18"/>
      <c r="AV23" s="18"/>
      <c r="AW23" s="18"/>
      <c r="AX23" s="18"/>
      <c r="AY23" s="18"/>
      <c r="AZ23" s="18"/>
      <c r="BD23" s="1181" t="s">
        <v>2445</v>
      </c>
      <c r="BE23" s="1183">
        <f>'Sources and Uses Budget'!B4</f>
        <v>4990000</v>
      </c>
    </row>
    <row r="24" spans="1:58" ht="12.95" customHeight="1">
      <c r="A24" s="1274"/>
      <c r="B24" s="1274"/>
      <c r="C24" s="1274"/>
      <c r="D24" s="1274"/>
      <c r="E24" s="1274"/>
      <c r="F24" s="1274"/>
      <c r="G24" s="1274"/>
      <c r="H24" s="1274"/>
      <c r="I24" s="1274"/>
      <c r="J24" s="1274"/>
      <c r="K24" s="1274"/>
      <c r="L24" s="1274"/>
      <c r="M24" s="1274"/>
      <c r="N24" s="1274"/>
      <c r="O24" s="1274"/>
      <c r="P24" s="1274"/>
      <c r="Q24" s="1274"/>
      <c r="R24" s="1274"/>
      <c r="S24" s="1274"/>
      <c r="T24" s="1274"/>
      <c r="U24" s="1274"/>
      <c r="V24" s="1274"/>
      <c r="W24" s="1274"/>
      <c r="X24" s="1274"/>
      <c r="Y24" s="1274"/>
      <c r="Z24" s="1274"/>
      <c r="AA24" s="1274"/>
      <c r="AB24" s="1274"/>
      <c r="AC24" s="1274"/>
      <c r="AD24" s="1274"/>
      <c r="AE24" s="1274"/>
      <c r="AF24" s="1274"/>
      <c r="AG24" s="1274"/>
      <c r="AH24" s="1274"/>
      <c r="AI24" s="1274"/>
      <c r="AJ24" s="1274"/>
      <c r="AK24" s="1274"/>
      <c r="AL24" s="1274"/>
      <c r="AM24" s="1274"/>
      <c r="AN24" s="1274"/>
      <c r="AO24" s="1274"/>
      <c r="AP24" s="1274"/>
      <c r="AQ24" s="1274"/>
      <c r="AR24" s="1274"/>
      <c r="AS24" s="1274"/>
      <c r="AT24" s="1274"/>
      <c r="AU24" s="18"/>
      <c r="AV24" s="18"/>
      <c r="AW24" s="18"/>
      <c r="AX24" s="18"/>
      <c r="AY24" s="18"/>
      <c r="AZ24" s="18"/>
      <c r="BD24" s="1182" t="s">
        <v>2446</v>
      </c>
      <c r="BE24" s="1183">
        <f>Application!AG459</f>
        <v>148397</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2447</v>
      </c>
      <c r="BE25" s="1183" t="str">
        <f>Application!D208</f>
        <v>40%/60% Average Income</v>
      </c>
    </row>
    <row r="26" spans="1:58" ht="12.95" customHeight="1">
      <c r="A26" s="4"/>
      <c r="C26" s="4"/>
      <c r="D26" s="4"/>
      <c r="E26" s="4"/>
      <c r="F26" s="4"/>
      <c r="G26" s="4"/>
      <c r="H26" s="4"/>
      <c r="I26" s="4"/>
      <c r="J26" s="4"/>
      <c r="K26" s="4"/>
      <c r="L26" s="4"/>
      <c r="M26" s="1424">
        <f>'Basis &amp; Credits'!AB56</f>
        <v>2720254</v>
      </c>
      <c r="N26" s="1424"/>
      <c r="O26" s="1424"/>
      <c r="P26" s="1424"/>
      <c r="Q26" s="1424"/>
      <c r="R26" s="4" t="s">
        <v>758</v>
      </c>
      <c r="S26" s="4"/>
      <c r="T26" s="4"/>
      <c r="U26" s="4"/>
      <c r="V26" s="4"/>
      <c r="W26" s="4"/>
      <c r="X26" s="4"/>
      <c r="Y26" s="4"/>
      <c r="Z26" s="4"/>
      <c r="AF26" s="4"/>
      <c r="AG26" s="4"/>
      <c r="AH26" s="4"/>
      <c r="AI26" s="4"/>
      <c r="AJ26" s="4"/>
      <c r="AK26" s="4"/>
      <c r="BD26" s="1182" t="s">
        <v>1627</v>
      </c>
      <c r="BE26" s="1183" t="b">
        <f>Application!M365="Yes"</f>
        <v>0</v>
      </c>
    </row>
    <row r="27" spans="1:58" ht="12.95" customHeight="1">
      <c r="A27" s="4"/>
      <c r="C27" s="4"/>
      <c r="D27" s="4"/>
      <c r="E27" s="4"/>
      <c r="F27" s="4"/>
      <c r="G27" s="4"/>
      <c r="H27" s="4"/>
      <c r="I27" s="4"/>
      <c r="J27" s="4"/>
      <c r="K27" s="4"/>
      <c r="L27" s="4"/>
      <c r="M27" s="1371">
        <f>'Basis &amp; Credits'!AB78</f>
        <v>0</v>
      </c>
      <c r="N27" s="1371"/>
      <c r="O27" s="1371"/>
      <c r="P27" s="1371"/>
      <c r="Q27" s="1371"/>
      <c r="R27" s="3" t="s">
        <v>1266</v>
      </c>
      <c r="S27" s="4"/>
      <c r="T27" s="4"/>
      <c r="U27" s="4"/>
      <c r="V27" s="4"/>
      <c r="W27" s="4"/>
      <c r="X27" s="4"/>
      <c r="Y27" s="4"/>
      <c r="Z27" s="4"/>
      <c r="AF27" s="4"/>
      <c r="AG27" s="4"/>
      <c r="AH27" s="4"/>
      <c r="AI27" s="4"/>
      <c r="AJ27" s="4"/>
      <c r="AK27" s="4"/>
      <c r="BD27" s="1181" t="s">
        <v>2052</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2448</v>
      </c>
      <c r="BE28" s="1183" t="b">
        <f>Application!M366="Yes"</f>
        <v>0</v>
      </c>
    </row>
    <row r="29" spans="1:58" ht="12.95" customHeight="1">
      <c r="A29" s="1393" t="s">
        <v>2100</v>
      </c>
      <c r="B29" s="1393"/>
      <c r="C29" s="1393"/>
      <c r="D29" s="1393"/>
      <c r="E29" s="1393"/>
      <c r="F29" s="1393"/>
      <c r="G29" s="1393"/>
      <c r="H29" s="1393"/>
      <c r="I29" s="1393"/>
      <c r="J29" s="1393"/>
      <c r="K29" s="1393"/>
      <c r="L29" s="1393"/>
      <c r="M29" s="1393"/>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c r="AL29" s="1393"/>
      <c r="AM29" s="1393"/>
      <c r="AN29" s="1393"/>
      <c r="AO29" s="1393"/>
      <c r="AP29" s="1393"/>
      <c r="AQ29" s="1393"/>
      <c r="AR29" s="1393"/>
      <c r="AS29" s="1393"/>
      <c r="AT29" s="1393"/>
      <c r="BD29" s="1181" t="s">
        <v>2449</v>
      </c>
      <c r="BE29" s="1183" t="b">
        <f>Application!M367="Yes"</f>
        <v>0</v>
      </c>
    </row>
    <row r="30" spans="1:58" ht="12.95" customHeight="1">
      <c r="A30" s="1393"/>
      <c r="B30" s="1393"/>
      <c r="C30" s="1393"/>
      <c r="D30" s="1393"/>
      <c r="E30" s="1393"/>
      <c r="F30" s="1393"/>
      <c r="G30" s="1393"/>
      <c r="H30" s="1393"/>
      <c r="I30" s="1393"/>
      <c r="J30" s="1393"/>
      <c r="K30" s="1393"/>
      <c r="L30" s="1393"/>
      <c r="M30" s="1393"/>
      <c r="N30" s="1393"/>
      <c r="O30" s="1393"/>
      <c r="P30" s="1393"/>
      <c r="Q30" s="1393"/>
      <c r="R30" s="1393"/>
      <c r="S30" s="1393"/>
      <c r="T30" s="1393"/>
      <c r="U30" s="1393"/>
      <c r="V30" s="1393"/>
      <c r="W30" s="1393"/>
      <c r="X30" s="1393"/>
      <c r="Y30" s="1393"/>
      <c r="Z30" s="1393"/>
      <c r="AA30" s="1393"/>
      <c r="AB30" s="1393"/>
      <c r="AC30" s="1393"/>
      <c r="AD30" s="1393"/>
      <c r="AE30" s="1393"/>
      <c r="AF30" s="1393"/>
      <c r="AG30" s="1393"/>
      <c r="AH30" s="1393"/>
      <c r="AI30" s="1393"/>
      <c r="AJ30" s="1393"/>
      <c r="AK30" s="1393"/>
      <c r="AL30" s="1393"/>
      <c r="AM30" s="1393"/>
      <c r="AN30" s="1393"/>
      <c r="AO30" s="1393"/>
      <c r="AP30" s="1393"/>
      <c r="AQ30" s="1393"/>
      <c r="AR30" s="1393"/>
      <c r="AS30" s="1393"/>
      <c r="AT30" s="1393"/>
      <c r="AZ30" s="20"/>
      <c r="BD30" s="1182" t="s">
        <v>28</v>
      </c>
      <c r="BE30" s="1183" t="b">
        <f>Application!AJ364="Yes"</f>
        <v>0</v>
      </c>
    </row>
    <row r="31" spans="1:58" ht="12.95" customHeight="1">
      <c r="A31" s="1393"/>
      <c r="B31" s="1393"/>
      <c r="C31" s="1393"/>
      <c r="D31" s="1393"/>
      <c r="E31" s="1393"/>
      <c r="F31" s="1393"/>
      <c r="G31" s="1393"/>
      <c r="H31" s="1393"/>
      <c r="I31" s="1393"/>
      <c r="J31" s="1393"/>
      <c r="K31" s="1393"/>
      <c r="L31" s="1393"/>
      <c r="M31" s="1393"/>
      <c r="N31" s="1393"/>
      <c r="O31" s="1393"/>
      <c r="P31" s="1393"/>
      <c r="Q31" s="1393"/>
      <c r="R31" s="1393"/>
      <c r="S31" s="1393"/>
      <c r="T31" s="1393"/>
      <c r="U31" s="1393"/>
      <c r="V31" s="1393"/>
      <c r="W31" s="1393"/>
      <c r="X31" s="1393"/>
      <c r="Y31" s="1393"/>
      <c r="Z31" s="1393"/>
      <c r="AA31" s="1393"/>
      <c r="AB31" s="1393"/>
      <c r="AC31" s="1393"/>
      <c r="AD31" s="1393"/>
      <c r="AE31" s="1393"/>
      <c r="AF31" s="1393"/>
      <c r="AG31" s="1393"/>
      <c r="AH31" s="1393"/>
      <c r="AI31" s="1393"/>
      <c r="AJ31" s="1393"/>
      <c r="AK31" s="1393"/>
      <c r="AL31" s="1393"/>
      <c r="AM31" s="1393"/>
      <c r="AN31" s="1393"/>
      <c r="AO31" s="1393"/>
      <c r="AP31" s="1393"/>
      <c r="AQ31" s="1393"/>
      <c r="AR31" s="1393"/>
      <c r="AS31" s="1393"/>
      <c r="AT31" s="1393"/>
      <c r="AU31" s="20"/>
      <c r="AV31" s="20"/>
      <c r="AW31" s="20"/>
      <c r="AX31" s="20"/>
      <c r="AY31" s="20"/>
      <c r="AZ31" s="20"/>
      <c r="BD31" s="1181" t="s">
        <v>2450</v>
      </c>
      <c r="BE31" s="1183"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2451</v>
      </c>
      <c r="BE32" s="1183">
        <f>IF(ISNUMBER(Application!W473),W473,0)</f>
        <v>0</v>
      </c>
    </row>
    <row r="33" spans="1:57" ht="12.95" hidden="1" customHeight="1">
      <c r="A33" s="519" t="s">
        <v>1277</v>
      </c>
      <c r="C33" s="519"/>
      <c r="D33" s="519"/>
      <c r="E33" s="519"/>
      <c r="F33" s="519"/>
      <c r="G33" s="519"/>
      <c r="H33" s="519"/>
      <c r="I33" s="519"/>
      <c r="J33" s="519"/>
      <c r="K33" s="519"/>
      <c r="L33" s="519"/>
      <c r="M33" s="519"/>
      <c r="N33" s="519"/>
      <c r="O33" s="1269" t="s">
        <v>668</v>
      </c>
      <c r="P33" s="1269"/>
      <c r="Q33" s="1421" t="s">
        <v>2101</v>
      </c>
      <c r="R33" s="1421"/>
      <c r="S33" s="1421"/>
      <c r="T33" s="1421"/>
      <c r="U33" s="1421"/>
      <c r="V33" s="1421"/>
      <c r="W33" s="1421"/>
      <c r="X33" s="1421"/>
      <c r="Y33" s="1421"/>
      <c r="Z33" s="1421"/>
      <c r="AA33" s="1421"/>
      <c r="AB33" s="1421"/>
      <c r="AC33" s="1421"/>
      <c r="AD33" s="1421"/>
      <c r="AE33" s="1421"/>
      <c r="AF33" s="1421"/>
      <c r="AG33" s="1421"/>
      <c r="AH33" s="1421"/>
      <c r="AI33" s="1421"/>
      <c r="AJ33" s="1421"/>
      <c r="AK33" s="1421"/>
      <c r="AL33" s="1421"/>
      <c r="AM33" s="1421"/>
      <c r="AN33" s="1421"/>
      <c r="AO33" s="1421"/>
      <c r="AP33" s="1421"/>
      <c r="AQ33" s="1421"/>
      <c r="AR33" s="1421"/>
      <c r="AS33" s="1421"/>
      <c r="AT33" s="1421"/>
      <c r="AU33" s="20"/>
      <c r="AV33" s="20"/>
      <c r="AW33" s="20"/>
      <c r="AX33" s="20"/>
      <c r="AY33" s="20"/>
      <c r="BD33" s="1181" t="s">
        <v>2516</v>
      </c>
      <c r="BE33" s="1183" t="str">
        <f>Application!D220</f>
        <v>City of Los Angeles</v>
      </c>
    </row>
    <row r="34" spans="1:57" ht="12.95" hidden="1" customHeight="1">
      <c r="A34" s="1393" t="s">
        <v>2102</v>
      </c>
      <c r="B34" s="1393"/>
      <c r="C34" s="1393"/>
      <c r="D34" s="1393"/>
      <c r="E34" s="1393"/>
      <c r="F34" s="1393"/>
      <c r="G34" s="1393"/>
      <c r="H34" s="1393"/>
      <c r="I34" s="1393"/>
      <c r="J34" s="1393"/>
      <c r="K34" s="1393"/>
      <c r="L34" s="1393"/>
      <c r="M34" s="1393"/>
      <c r="N34" s="1393"/>
      <c r="O34" s="1393"/>
      <c r="P34" s="1393"/>
      <c r="Q34" s="1393"/>
      <c r="R34" s="1393"/>
      <c r="S34" s="1393"/>
      <c r="T34" s="1393"/>
      <c r="U34" s="1393"/>
      <c r="V34" s="1393"/>
      <c r="W34" s="1393"/>
      <c r="X34" s="1393"/>
      <c r="Y34" s="1393"/>
      <c r="Z34" s="1393"/>
      <c r="AA34" s="1393"/>
      <c r="AB34" s="1393"/>
      <c r="AC34" s="1393"/>
      <c r="AD34" s="1393"/>
      <c r="AE34" s="1393"/>
      <c r="AF34" s="1393"/>
      <c r="AG34" s="1393"/>
      <c r="AH34" s="1393"/>
      <c r="AI34" s="1393"/>
      <c r="AJ34" s="1393"/>
      <c r="AK34" s="1393"/>
      <c r="AL34" s="1393"/>
      <c r="AM34" s="1393"/>
      <c r="AN34" s="1393"/>
      <c r="AO34" s="1393"/>
      <c r="AP34" s="1393"/>
      <c r="AQ34" s="1393"/>
      <c r="AR34" s="1393"/>
      <c r="AS34" s="1393"/>
      <c r="AT34" s="1393"/>
      <c r="AU34" s="20"/>
      <c r="AV34" s="20"/>
      <c r="AW34" s="20"/>
      <c r="AX34" s="20"/>
      <c r="AY34" s="20"/>
      <c r="AZ34" s="20"/>
      <c r="BD34" s="1182" t="s">
        <v>2452</v>
      </c>
      <c r="BE34" s="1183" t="str">
        <f>Application!I185</f>
        <v>11070 Borden Avenue</v>
      </c>
    </row>
    <row r="35" spans="1:57" ht="12.95" hidden="1" customHeight="1">
      <c r="A35" s="1393"/>
      <c r="B35" s="1393"/>
      <c r="C35" s="1393"/>
      <c r="D35" s="1393"/>
      <c r="E35" s="1393"/>
      <c r="F35" s="1393"/>
      <c r="G35" s="1393"/>
      <c r="H35" s="1393"/>
      <c r="I35" s="1393"/>
      <c r="J35" s="1393"/>
      <c r="K35" s="1393"/>
      <c r="L35" s="1393"/>
      <c r="M35" s="1393"/>
      <c r="N35" s="1393"/>
      <c r="O35" s="1393"/>
      <c r="P35" s="1393"/>
      <c r="Q35" s="1393"/>
      <c r="R35" s="1393"/>
      <c r="S35" s="1393"/>
      <c r="T35" s="1393"/>
      <c r="U35" s="1393"/>
      <c r="V35" s="1393"/>
      <c r="W35" s="1393"/>
      <c r="X35" s="1393"/>
      <c r="Y35" s="1393"/>
      <c r="Z35" s="1393"/>
      <c r="AA35" s="1393"/>
      <c r="AB35" s="1393"/>
      <c r="AC35" s="1393"/>
      <c r="AD35" s="1393"/>
      <c r="AE35" s="1393"/>
      <c r="AF35" s="1393"/>
      <c r="AG35" s="1393"/>
      <c r="AH35" s="1393"/>
      <c r="AI35" s="1393"/>
      <c r="AJ35" s="1393"/>
      <c r="AK35" s="1393"/>
      <c r="AL35" s="1393"/>
      <c r="AM35" s="1393"/>
      <c r="AN35" s="1393"/>
      <c r="AO35" s="1393"/>
      <c r="AP35" s="1393"/>
      <c r="AQ35" s="1393"/>
      <c r="AR35" s="1393"/>
      <c r="AS35" s="1393"/>
      <c r="AT35" s="1393"/>
      <c r="AU35" s="20"/>
      <c r="AV35" s="20"/>
      <c r="AW35" s="20"/>
      <c r="AX35" s="20"/>
      <c r="AY35" s="20"/>
      <c r="AZ35" s="20"/>
      <c r="BD35" s="1181" t="s">
        <v>2453</v>
      </c>
      <c r="BE35" s="1183" t="str">
        <f>IF(Application!E187="","",Application!E187)</f>
        <v/>
      </c>
    </row>
    <row r="36" spans="1:57" ht="12.95" hidden="1" customHeight="1">
      <c r="A36" s="1393"/>
      <c r="B36" s="1393"/>
      <c r="C36" s="1393"/>
      <c r="D36" s="1393"/>
      <c r="E36" s="1393"/>
      <c r="F36" s="1393"/>
      <c r="G36" s="1393"/>
      <c r="H36" s="1393"/>
      <c r="I36" s="1393"/>
      <c r="J36" s="1393"/>
      <c r="K36" s="1393"/>
      <c r="L36" s="1393"/>
      <c r="M36" s="1393"/>
      <c r="N36" s="1393"/>
      <c r="O36" s="1393"/>
      <c r="P36" s="1393"/>
      <c r="Q36" s="1393"/>
      <c r="R36" s="1393"/>
      <c r="S36" s="1393"/>
      <c r="T36" s="1393"/>
      <c r="U36" s="1393"/>
      <c r="V36" s="1393"/>
      <c r="W36" s="1393"/>
      <c r="X36" s="1393"/>
      <c r="Y36" s="1393"/>
      <c r="Z36" s="1393"/>
      <c r="AA36" s="1393"/>
      <c r="AB36" s="1393"/>
      <c r="AC36" s="1393"/>
      <c r="AD36" s="1393"/>
      <c r="AE36" s="1393"/>
      <c r="AF36" s="1393"/>
      <c r="AG36" s="1393"/>
      <c r="AH36" s="1393"/>
      <c r="AI36" s="1393"/>
      <c r="AJ36" s="1393"/>
      <c r="AK36" s="1393"/>
      <c r="AL36" s="1393"/>
      <c r="AM36" s="1393"/>
      <c r="AN36" s="1393"/>
      <c r="AO36" s="1393"/>
      <c r="AP36" s="1393"/>
      <c r="AQ36" s="1393"/>
      <c r="AR36" s="1393"/>
      <c r="AS36" s="1393"/>
      <c r="AT36" s="1393"/>
      <c r="AU36" s="20"/>
      <c r="AV36" s="20"/>
      <c r="AW36" s="20"/>
      <c r="AX36" s="20"/>
      <c r="AY36" s="20"/>
      <c r="AZ36" s="20"/>
      <c r="BD36" s="1182" t="s">
        <v>2454</v>
      </c>
      <c r="BE36" s="1183" t="str">
        <f>Application!I189</f>
        <v>Los Angeles</v>
      </c>
    </row>
    <row r="37" spans="1:57" ht="12.95" hidden="1" customHeight="1">
      <c r="A37" s="1393"/>
      <c r="B37" s="1393"/>
      <c r="C37" s="1393"/>
      <c r="D37" s="1393"/>
      <c r="E37" s="1393"/>
      <c r="F37" s="1393"/>
      <c r="G37" s="1393"/>
      <c r="H37" s="1393"/>
      <c r="I37" s="1393"/>
      <c r="J37" s="1393"/>
      <c r="K37" s="1393"/>
      <c r="L37" s="1393"/>
      <c r="M37" s="1393"/>
      <c r="N37" s="1393"/>
      <c r="O37" s="1393"/>
      <c r="P37" s="1393"/>
      <c r="Q37" s="1393"/>
      <c r="R37" s="1393"/>
      <c r="S37" s="1393"/>
      <c r="T37" s="1393"/>
      <c r="U37" s="1393"/>
      <c r="V37" s="1393"/>
      <c r="W37" s="1393"/>
      <c r="X37" s="1393"/>
      <c r="Y37" s="1393"/>
      <c r="Z37" s="1393"/>
      <c r="AA37" s="1393"/>
      <c r="AB37" s="1393"/>
      <c r="AC37" s="1393"/>
      <c r="AD37" s="1393"/>
      <c r="AE37" s="1393"/>
      <c r="AF37" s="1393"/>
      <c r="AG37" s="1393"/>
      <c r="AH37" s="1393"/>
      <c r="AI37" s="1393"/>
      <c r="AJ37" s="1393"/>
      <c r="AK37" s="1393"/>
      <c r="AL37" s="1393"/>
      <c r="AM37" s="1393"/>
      <c r="AN37" s="1393"/>
      <c r="AO37" s="1393"/>
      <c r="AP37" s="1393"/>
      <c r="AQ37" s="1393"/>
      <c r="AR37" s="1393"/>
      <c r="AS37" s="1393"/>
      <c r="AT37" s="1393"/>
      <c r="AZ37" s="20"/>
      <c r="BD37" s="1181" t="s">
        <v>2455</v>
      </c>
      <c r="BE37" s="1183" t="str">
        <f>Application!T189</f>
        <v>Los Angeles</v>
      </c>
    </row>
    <row r="38" spans="1:57" ht="12.95" hidden="1" customHeight="1">
      <c r="A38" s="3"/>
      <c r="AZ38" s="20"/>
      <c r="BD38" s="1182" t="s">
        <v>2456</v>
      </c>
      <c r="BE38" s="1183">
        <f>Application!I190</f>
        <v>91331</v>
      </c>
    </row>
    <row r="39" spans="1:57" ht="12.95" customHeight="1">
      <c r="A39" s="1422" t="s">
        <v>2103</v>
      </c>
      <c r="B39" s="1422"/>
      <c r="C39" s="1422"/>
      <c r="D39" s="1422"/>
      <c r="E39" s="1422"/>
      <c r="F39" s="1422"/>
      <c r="G39" s="1422"/>
      <c r="H39" s="1422"/>
      <c r="I39" s="1422"/>
      <c r="J39" s="1422"/>
      <c r="K39" s="1422"/>
      <c r="L39" s="1422"/>
      <c r="M39" s="1422"/>
      <c r="N39" s="1422"/>
      <c r="O39" s="1422"/>
      <c r="P39" s="1422"/>
      <c r="Q39" s="1422"/>
      <c r="R39" s="1422"/>
      <c r="S39" s="1422"/>
      <c r="T39" s="1422"/>
      <c r="U39" s="1422"/>
      <c r="V39" s="1422"/>
      <c r="W39" s="1422"/>
      <c r="X39" s="1422"/>
      <c r="Y39" s="1422"/>
      <c r="Z39" s="1422"/>
      <c r="AA39" s="1422"/>
      <c r="AB39" s="1422"/>
      <c r="AC39" s="1422"/>
      <c r="AD39" s="1422"/>
      <c r="AE39" s="1422"/>
      <c r="AF39" s="1422"/>
      <c r="AG39" s="1422"/>
      <c r="AH39" s="1422"/>
      <c r="AI39" s="1422"/>
      <c r="AJ39" s="1422"/>
      <c r="AK39" s="1422"/>
      <c r="AL39" s="1422"/>
      <c r="AM39" s="1422"/>
      <c r="AN39" s="1422"/>
      <c r="AO39" s="1422"/>
      <c r="AP39" s="1422"/>
      <c r="AQ39" s="1422"/>
      <c r="AR39" s="1422"/>
      <c r="AS39" s="1422"/>
      <c r="AT39" s="1422"/>
      <c r="AZ39" s="20"/>
      <c r="BD39" s="1181" t="s">
        <v>2457</v>
      </c>
      <c r="BE39" s="1183">
        <f>Application!AG446</f>
        <v>205</v>
      </c>
    </row>
    <row r="40" spans="1:57" ht="12.95" customHeight="1">
      <c r="A40" s="1422"/>
      <c r="B40" s="1422"/>
      <c r="C40" s="1422"/>
      <c r="D40" s="1422"/>
      <c r="E40" s="1422"/>
      <c r="F40" s="1422"/>
      <c r="G40" s="1422"/>
      <c r="H40" s="1422"/>
      <c r="I40" s="1422"/>
      <c r="J40" s="1422"/>
      <c r="K40" s="1422"/>
      <c r="L40" s="1422"/>
      <c r="M40" s="1422"/>
      <c r="N40" s="1422"/>
      <c r="O40" s="1422"/>
      <c r="P40" s="1422"/>
      <c r="Q40" s="1422"/>
      <c r="R40" s="1422"/>
      <c r="S40" s="1422"/>
      <c r="T40" s="1422"/>
      <c r="U40" s="1422"/>
      <c r="V40" s="1422"/>
      <c r="W40" s="1422"/>
      <c r="X40" s="1422"/>
      <c r="Y40" s="1422"/>
      <c r="Z40" s="1422"/>
      <c r="AA40" s="1422"/>
      <c r="AB40" s="1422"/>
      <c r="AC40" s="1422"/>
      <c r="AD40" s="1422"/>
      <c r="AE40" s="1422"/>
      <c r="AF40" s="1422"/>
      <c r="AG40" s="1422"/>
      <c r="AH40" s="1422"/>
      <c r="AI40" s="1422"/>
      <c r="AJ40" s="1422"/>
      <c r="AK40" s="1422"/>
      <c r="AL40" s="1422"/>
      <c r="AM40" s="1422"/>
      <c r="AN40" s="1422"/>
      <c r="AO40" s="1422"/>
      <c r="AP40" s="1422"/>
      <c r="AQ40" s="1422"/>
      <c r="AR40" s="1422"/>
      <c r="AS40" s="1422"/>
      <c r="AT40" s="1422"/>
      <c r="AU40" s="20"/>
      <c r="AV40" s="20"/>
      <c r="AW40" s="20"/>
      <c r="AX40" s="20"/>
      <c r="AY40" s="20"/>
      <c r="AZ40" s="20"/>
      <c r="BD40" s="1182" t="s">
        <v>384</v>
      </c>
      <c r="BE40" s="1183">
        <f>Application!AG449</f>
        <v>203</v>
      </c>
    </row>
    <row r="41" spans="1:57" ht="12.95" customHeight="1">
      <c r="A41" s="1422"/>
      <c r="B41" s="1422"/>
      <c r="C41" s="1422"/>
      <c r="D41" s="1422"/>
      <c r="E41" s="1422"/>
      <c r="F41" s="1422"/>
      <c r="G41" s="1422"/>
      <c r="H41" s="1422"/>
      <c r="I41" s="1422"/>
      <c r="J41" s="1422"/>
      <c r="K41" s="1422"/>
      <c r="L41" s="1422"/>
      <c r="M41" s="1422"/>
      <c r="N41" s="1422"/>
      <c r="O41" s="1422"/>
      <c r="P41" s="1422"/>
      <c r="Q41" s="1422"/>
      <c r="R41" s="1422"/>
      <c r="S41" s="1422"/>
      <c r="T41" s="1422"/>
      <c r="U41" s="1422"/>
      <c r="V41" s="1422"/>
      <c r="W41" s="1422"/>
      <c r="X41" s="1422"/>
      <c r="Y41" s="1422"/>
      <c r="Z41" s="1422"/>
      <c r="AA41" s="1422"/>
      <c r="AB41" s="1422"/>
      <c r="AC41" s="1422"/>
      <c r="AD41" s="1422"/>
      <c r="AE41" s="1422"/>
      <c r="AF41" s="1422"/>
      <c r="AG41" s="1422"/>
      <c r="AH41" s="1422"/>
      <c r="AI41" s="1422"/>
      <c r="AJ41" s="1422"/>
      <c r="AK41" s="1422"/>
      <c r="AL41" s="1422"/>
      <c r="AM41" s="1422"/>
      <c r="AN41" s="1422"/>
      <c r="AO41" s="1422"/>
      <c r="AP41" s="1422"/>
      <c r="AQ41" s="1422"/>
      <c r="AR41" s="1422"/>
      <c r="AS41" s="1422"/>
      <c r="AT41" s="1422"/>
      <c r="AU41" s="20"/>
      <c r="AV41" s="20"/>
      <c r="AW41" s="20"/>
      <c r="AX41" s="20"/>
      <c r="AY41" s="20"/>
      <c r="AZ41" s="20"/>
      <c r="BD41" s="1181" t="s">
        <v>287</v>
      </c>
      <c r="BE41" s="1183">
        <f>Application!AG447</f>
        <v>0</v>
      </c>
    </row>
    <row r="42" spans="1:57" ht="12.95" customHeight="1">
      <c r="A42" s="1422"/>
      <c r="B42" s="1422"/>
      <c r="C42" s="1422"/>
      <c r="D42" s="1422"/>
      <c r="E42" s="1422"/>
      <c r="F42" s="1422"/>
      <c r="G42" s="1422"/>
      <c r="H42" s="1422"/>
      <c r="I42" s="1422"/>
      <c r="J42" s="1422"/>
      <c r="K42" s="1422"/>
      <c r="L42" s="1422"/>
      <c r="M42" s="1422"/>
      <c r="N42" s="1422"/>
      <c r="O42" s="1422"/>
      <c r="P42" s="1422"/>
      <c r="Q42" s="1422"/>
      <c r="R42" s="1422"/>
      <c r="S42" s="1422"/>
      <c r="T42" s="1422"/>
      <c r="U42" s="1422"/>
      <c r="V42" s="1422"/>
      <c r="W42" s="1422"/>
      <c r="X42" s="1422"/>
      <c r="Y42" s="1422"/>
      <c r="Z42" s="1422"/>
      <c r="AA42" s="1422"/>
      <c r="AB42" s="1422"/>
      <c r="AC42" s="1422"/>
      <c r="AD42" s="1422"/>
      <c r="AE42" s="1422"/>
      <c r="AF42" s="1422"/>
      <c r="AG42" s="1422"/>
      <c r="AH42" s="1422"/>
      <c r="AI42" s="1422"/>
      <c r="AJ42" s="1422"/>
      <c r="AK42" s="1422"/>
      <c r="AL42" s="1422"/>
      <c r="AM42" s="1422"/>
      <c r="AN42" s="1422"/>
      <c r="AO42" s="1422"/>
      <c r="AP42" s="1422"/>
      <c r="AQ42" s="1422"/>
      <c r="AR42" s="1422"/>
      <c r="AS42" s="1422"/>
      <c r="AT42" s="1422"/>
      <c r="AZ42" s="20"/>
      <c r="BD42" s="1182" t="s">
        <v>2458</v>
      </c>
      <c r="BE42" s="1185">
        <f>Application!AC761</f>
        <v>0.57241379310344831</v>
      </c>
    </row>
    <row r="43" spans="1:57" ht="12.95" customHeight="1">
      <c r="A43" s="1422"/>
      <c r="B43" s="1422"/>
      <c r="C43" s="1422"/>
      <c r="D43" s="1422"/>
      <c r="E43" s="1422"/>
      <c r="F43" s="1422"/>
      <c r="G43" s="1422"/>
      <c r="H43" s="1422"/>
      <c r="I43" s="1422"/>
      <c r="J43" s="1422"/>
      <c r="K43" s="1422"/>
      <c r="L43" s="1422"/>
      <c r="M43" s="1422"/>
      <c r="N43" s="1422"/>
      <c r="O43" s="1422"/>
      <c r="P43" s="1422"/>
      <c r="Q43" s="1422"/>
      <c r="R43" s="1422"/>
      <c r="S43" s="1422"/>
      <c r="T43" s="1422"/>
      <c r="U43" s="1422"/>
      <c r="V43" s="1422"/>
      <c r="W43" s="1422"/>
      <c r="X43" s="1422"/>
      <c r="Y43" s="1422"/>
      <c r="Z43" s="1422"/>
      <c r="AA43" s="1422"/>
      <c r="AB43" s="1422"/>
      <c r="AC43" s="1422"/>
      <c r="AD43" s="1422"/>
      <c r="AE43" s="1422"/>
      <c r="AF43" s="1422"/>
      <c r="AG43" s="1422"/>
      <c r="AH43" s="1422"/>
      <c r="AI43" s="1422"/>
      <c r="AJ43" s="1422"/>
      <c r="AK43" s="1422"/>
      <c r="AL43" s="1422"/>
      <c r="AM43" s="1422"/>
      <c r="AN43" s="1422"/>
      <c r="AO43" s="1422"/>
      <c r="AP43" s="1422"/>
      <c r="AQ43" s="1422"/>
      <c r="AR43" s="1422"/>
      <c r="AS43" s="1422"/>
      <c r="AT43" s="1422"/>
      <c r="AU43" s="20"/>
      <c r="AV43" s="20"/>
      <c r="AW43" s="20"/>
      <c r="AX43" s="20"/>
      <c r="AY43" s="20"/>
      <c r="AZ43" s="20"/>
      <c r="BD43" s="1181" t="s">
        <v>2459</v>
      </c>
      <c r="BE43" s="1185">
        <f>Application!AH761</f>
        <v>0.55900478726481373</v>
      </c>
    </row>
    <row r="44" spans="1:57" ht="12.95" customHeight="1">
      <c r="A44" s="1422"/>
      <c r="B44" s="1422"/>
      <c r="C44" s="1422"/>
      <c r="D44" s="1422"/>
      <c r="E44" s="1422"/>
      <c r="F44" s="1422"/>
      <c r="G44" s="1422"/>
      <c r="H44" s="1422"/>
      <c r="I44" s="1422"/>
      <c r="J44" s="1422"/>
      <c r="K44" s="1422"/>
      <c r="L44" s="1422"/>
      <c r="M44" s="1422"/>
      <c r="N44" s="1422"/>
      <c r="O44" s="1422"/>
      <c r="P44" s="1422"/>
      <c r="Q44" s="1422"/>
      <c r="R44" s="1422"/>
      <c r="S44" s="1422"/>
      <c r="T44" s="1422"/>
      <c r="U44" s="1422"/>
      <c r="V44" s="1422"/>
      <c r="W44" s="1422"/>
      <c r="X44" s="1422"/>
      <c r="Y44" s="1422"/>
      <c r="Z44" s="1422"/>
      <c r="AA44" s="1422"/>
      <c r="AB44" s="1422"/>
      <c r="AC44" s="1422"/>
      <c r="AD44" s="1422"/>
      <c r="AE44" s="1422"/>
      <c r="AF44" s="1422"/>
      <c r="AG44" s="1422"/>
      <c r="AH44" s="1422"/>
      <c r="AI44" s="1422"/>
      <c r="AJ44" s="1422"/>
      <c r="AK44" s="1422"/>
      <c r="AL44" s="1422"/>
      <c r="AM44" s="1422"/>
      <c r="AN44" s="1422"/>
      <c r="AO44" s="1422"/>
      <c r="AP44" s="1422"/>
      <c r="AQ44" s="1422"/>
      <c r="AR44" s="1422"/>
      <c r="AS44" s="1422"/>
      <c r="AT44" s="1422"/>
      <c r="AU44" s="20"/>
      <c r="AV44" s="20"/>
      <c r="AW44" s="20"/>
      <c r="AX44" s="20"/>
      <c r="AY44" s="20"/>
      <c r="AZ44" s="20"/>
      <c r="BD44" s="1182" t="s">
        <v>2460</v>
      </c>
      <c r="BE44" s="1183">
        <f>Application!AC463</f>
        <v>305398.8</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2461</v>
      </c>
      <c r="BE45" s="1183">
        <f>Application!AE433</f>
        <v>1</v>
      </c>
    </row>
    <row r="46" spans="1:57" ht="12.95" customHeight="1">
      <c r="A46" s="1274" t="s">
        <v>2104</v>
      </c>
      <c r="B46" s="1274"/>
      <c r="C46" s="1274"/>
      <c r="D46" s="1274"/>
      <c r="E46" s="127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c r="AM46" s="1274"/>
      <c r="AN46" s="1274"/>
      <c r="AO46" s="1274"/>
      <c r="AP46" s="1274"/>
      <c r="AQ46" s="1274"/>
      <c r="AR46" s="1274"/>
      <c r="AS46" s="1274"/>
      <c r="AT46" s="1274"/>
      <c r="AU46" s="20"/>
      <c r="AV46" s="20"/>
      <c r="AW46" s="20"/>
      <c r="AX46" s="20"/>
      <c r="AY46" s="20"/>
      <c r="AZ46" s="20"/>
      <c r="BD46" s="1182" t="s">
        <v>2462</v>
      </c>
      <c r="BE46" s="1183" t="b">
        <f>Application!T195="Yes"</f>
        <v>0</v>
      </c>
    </row>
    <row r="47" spans="1:57" ht="12.95" customHeight="1">
      <c r="A47" s="1274"/>
      <c r="B47" s="1274"/>
      <c r="C47" s="1274"/>
      <c r="D47" s="1274"/>
      <c r="E47" s="1274"/>
      <c r="F47" s="1274"/>
      <c r="G47" s="1274"/>
      <c r="H47" s="1274"/>
      <c r="I47" s="1274"/>
      <c r="J47" s="1274"/>
      <c r="K47" s="1274"/>
      <c r="L47" s="1274"/>
      <c r="M47" s="1274"/>
      <c r="N47" s="1274"/>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c r="AM47" s="1274"/>
      <c r="AN47" s="1274"/>
      <c r="AO47" s="1274"/>
      <c r="AP47" s="1274"/>
      <c r="AQ47" s="1274"/>
      <c r="AR47" s="1274"/>
      <c r="AS47" s="1274"/>
      <c r="AT47" s="1274"/>
      <c r="AU47" s="20"/>
      <c r="AV47" s="20"/>
      <c r="AW47" s="20"/>
      <c r="AX47" s="20"/>
      <c r="AY47" s="20"/>
      <c r="AZ47" s="20"/>
      <c r="BD47" s="1181" t="s">
        <v>2463</v>
      </c>
      <c r="BE47" s="1183" t="b">
        <f>Application!T196="Yes"</f>
        <v>1</v>
      </c>
    </row>
    <row r="48" spans="1:57" ht="12.95" customHeight="1">
      <c r="A48" s="1274"/>
      <c r="B48" s="1274"/>
      <c r="C48" s="1274"/>
      <c r="D48" s="1274"/>
      <c r="E48" s="1274"/>
      <c r="F48" s="1274"/>
      <c r="G48" s="1274"/>
      <c r="H48" s="1274"/>
      <c r="I48" s="1274"/>
      <c r="J48" s="1274"/>
      <c r="K48" s="1274"/>
      <c r="L48" s="1274"/>
      <c r="M48" s="1274"/>
      <c r="N48" s="1274"/>
      <c r="O48" s="1274"/>
      <c r="P48" s="1274"/>
      <c r="Q48" s="1274"/>
      <c r="R48" s="1274"/>
      <c r="S48" s="1274"/>
      <c r="T48" s="1274"/>
      <c r="U48" s="1274"/>
      <c r="V48" s="1274"/>
      <c r="W48" s="1274"/>
      <c r="X48" s="1274"/>
      <c r="Y48" s="1274"/>
      <c r="Z48" s="1274"/>
      <c r="AA48" s="1274"/>
      <c r="AB48" s="1274"/>
      <c r="AC48" s="1274"/>
      <c r="AD48" s="1274"/>
      <c r="AE48" s="1274"/>
      <c r="AF48" s="1274"/>
      <c r="AG48" s="1274"/>
      <c r="AH48" s="1274"/>
      <c r="AI48" s="1274"/>
      <c r="AJ48" s="1274"/>
      <c r="AK48" s="1274"/>
      <c r="AL48" s="1274"/>
      <c r="AM48" s="1274"/>
      <c r="AN48" s="1274"/>
      <c r="AO48" s="1274"/>
      <c r="AP48" s="1274"/>
      <c r="AQ48" s="1274"/>
      <c r="AR48" s="1274"/>
      <c r="AS48" s="1274"/>
      <c r="AT48" s="1274"/>
      <c r="AU48" s="20"/>
      <c r="AV48" s="20"/>
      <c r="AW48" s="20"/>
      <c r="AX48" s="20"/>
      <c r="AY48" s="20"/>
      <c r="AZ48" s="20"/>
      <c r="BD48" s="1182" t="s">
        <v>2464</v>
      </c>
      <c r="BE48" s="1183" t="str">
        <f>Application!M252</f>
        <v>Kingdom AO, LLC</v>
      </c>
    </row>
    <row r="49" spans="1:57" ht="12.95" customHeight="1">
      <c r="A49" s="1274"/>
      <c r="B49" s="1274"/>
      <c r="C49" s="1274"/>
      <c r="D49" s="1274"/>
      <c r="E49" s="1274"/>
      <c r="F49" s="1274"/>
      <c r="G49" s="1274"/>
      <c r="H49" s="1274"/>
      <c r="I49" s="1274"/>
      <c r="J49" s="1274"/>
      <c r="K49" s="1274"/>
      <c r="L49" s="1274"/>
      <c r="M49" s="1274"/>
      <c r="N49" s="1274"/>
      <c r="O49" s="1274"/>
      <c r="P49" s="1274"/>
      <c r="Q49" s="1274"/>
      <c r="R49" s="1274"/>
      <c r="S49" s="1274"/>
      <c r="T49" s="1274"/>
      <c r="U49" s="1274"/>
      <c r="V49" s="1274"/>
      <c r="W49" s="1274"/>
      <c r="X49" s="1274"/>
      <c r="Y49" s="1274"/>
      <c r="Z49" s="1274"/>
      <c r="AA49" s="1274"/>
      <c r="AB49" s="1274"/>
      <c r="AC49" s="1274"/>
      <c r="AD49" s="1274"/>
      <c r="AE49" s="1274"/>
      <c r="AF49" s="1274"/>
      <c r="AG49" s="1274"/>
      <c r="AH49" s="1274"/>
      <c r="AI49" s="1274"/>
      <c r="AJ49" s="1274"/>
      <c r="AK49" s="1274"/>
      <c r="AL49" s="1274"/>
      <c r="AM49" s="1274"/>
      <c r="AN49" s="1274"/>
      <c r="AO49" s="1274"/>
      <c r="AP49" s="1274"/>
      <c r="AQ49" s="1274"/>
      <c r="AR49" s="1274"/>
      <c r="AS49" s="1274"/>
      <c r="AT49" s="1274"/>
      <c r="AU49" s="20"/>
      <c r="AV49" s="20"/>
      <c r="AW49" s="20"/>
      <c r="AX49" s="20"/>
      <c r="AY49" s="20"/>
      <c r="AZ49" s="20"/>
      <c r="BD49" s="1181" t="s">
        <v>2465</v>
      </c>
      <c r="BE49" s="1183" t="str">
        <f>Application!M255</f>
        <v>William Leach</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2466</v>
      </c>
      <c r="BE50" s="1183" t="str">
        <f>Application!AA258</f>
        <v xml:space="preserve">Kingdom Development, Inc. </v>
      </c>
    </row>
    <row r="51" spans="1:57" ht="12.95" customHeight="1">
      <c r="A51" s="1422" t="s">
        <v>2105</v>
      </c>
      <c r="B51" s="1422"/>
      <c r="C51" s="1422"/>
      <c r="D51" s="1422"/>
      <c r="E51" s="1422"/>
      <c r="F51" s="1422"/>
      <c r="G51" s="1422"/>
      <c r="H51" s="1422"/>
      <c r="I51" s="1422"/>
      <c r="J51" s="1422"/>
      <c r="K51" s="1422"/>
      <c r="L51" s="1422"/>
      <c r="M51" s="1422"/>
      <c r="N51" s="1422"/>
      <c r="O51" s="1422"/>
      <c r="P51" s="1422"/>
      <c r="Q51" s="1422"/>
      <c r="R51" s="1422"/>
      <c r="S51" s="1422"/>
      <c r="T51" s="1422"/>
      <c r="U51" s="1422"/>
      <c r="V51" s="1422"/>
      <c r="W51" s="1422"/>
      <c r="X51" s="1422"/>
      <c r="Y51" s="1422"/>
      <c r="Z51" s="1422"/>
      <c r="AA51" s="1422"/>
      <c r="AB51" s="1422"/>
      <c r="AC51" s="1422"/>
      <c r="AD51" s="1422"/>
      <c r="AE51" s="1422"/>
      <c r="AF51" s="1422"/>
      <c r="AG51" s="1422"/>
      <c r="AH51" s="1422"/>
      <c r="AI51" s="1422"/>
      <c r="AJ51" s="1422"/>
      <c r="AK51" s="1422"/>
      <c r="AL51" s="1422"/>
      <c r="AM51" s="1422"/>
      <c r="AN51" s="1422"/>
      <c r="AO51" s="1422"/>
      <c r="AP51" s="1422"/>
      <c r="AQ51" s="1422"/>
      <c r="AR51" s="1422"/>
      <c r="AS51" s="1422"/>
      <c r="AT51" s="1422"/>
      <c r="AU51" s="20"/>
      <c r="AV51" s="20"/>
      <c r="AW51" s="20"/>
      <c r="AX51" s="20"/>
      <c r="AY51" s="20"/>
      <c r="AZ51" s="20"/>
      <c r="BD51" s="1181" t="s">
        <v>2467</v>
      </c>
      <c r="BE51" s="1183" t="str">
        <f>Application!M260</f>
        <v>Olive Branch Community Development Inc.</v>
      </c>
    </row>
    <row r="52" spans="1:57" ht="12.95" customHeight="1">
      <c r="A52" s="1422"/>
      <c r="B52" s="1422"/>
      <c r="C52" s="1422"/>
      <c r="D52" s="1422"/>
      <c r="E52" s="1422"/>
      <c r="F52" s="1422"/>
      <c r="G52" s="1422"/>
      <c r="H52" s="1422"/>
      <c r="I52" s="1422"/>
      <c r="J52" s="1422"/>
      <c r="K52" s="1422"/>
      <c r="L52" s="1422"/>
      <c r="M52" s="1422"/>
      <c r="N52" s="1422"/>
      <c r="O52" s="1422"/>
      <c r="P52" s="1422"/>
      <c r="Q52" s="1422"/>
      <c r="R52" s="1422"/>
      <c r="S52" s="1422"/>
      <c r="T52" s="1422"/>
      <c r="U52" s="1422"/>
      <c r="V52" s="1422"/>
      <c r="W52" s="1422"/>
      <c r="X52" s="1422"/>
      <c r="Y52" s="1422"/>
      <c r="Z52" s="1422"/>
      <c r="AA52" s="1422"/>
      <c r="AB52" s="1422"/>
      <c r="AC52" s="1422"/>
      <c r="AD52" s="1422"/>
      <c r="AE52" s="1422"/>
      <c r="AF52" s="1422"/>
      <c r="AG52" s="1422"/>
      <c r="AH52" s="1422"/>
      <c r="AI52" s="1422"/>
      <c r="AJ52" s="1422"/>
      <c r="AK52" s="1422"/>
      <c r="AL52" s="1422"/>
      <c r="AM52" s="1422"/>
      <c r="AN52" s="1422"/>
      <c r="AO52" s="1422"/>
      <c r="AP52" s="1422"/>
      <c r="AQ52" s="1422"/>
      <c r="AR52" s="1422"/>
      <c r="AS52" s="1422"/>
      <c r="AT52" s="1422"/>
      <c r="AU52" s="20"/>
      <c r="AV52" s="20"/>
      <c r="AW52" s="20"/>
      <c r="AX52" s="20"/>
      <c r="AY52" s="20"/>
      <c r="AZ52" s="20"/>
      <c r="BD52" s="1182" t="s">
        <v>2468</v>
      </c>
      <c r="BE52" s="1183" t="str">
        <f>Application!M263</f>
        <v>Maria Medina</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2469</v>
      </c>
      <c r="BE53" s="1183">
        <f>Application!AA266</f>
        <v>0</v>
      </c>
    </row>
    <row r="54" spans="1:57" ht="12.95" customHeight="1">
      <c r="A54" s="1422" t="s">
        <v>2106</v>
      </c>
      <c r="B54" s="1422"/>
      <c r="C54" s="1422"/>
      <c r="D54" s="1422"/>
      <c r="E54" s="1422"/>
      <c r="F54" s="1422"/>
      <c r="G54" s="1422"/>
      <c r="H54" s="1422"/>
      <c r="I54" s="1422"/>
      <c r="J54" s="1422"/>
      <c r="K54" s="1422"/>
      <c r="L54" s="1422"/>
      <c r="M54" s="1422"/>
      <c r="N54" s="1422"/>
      <c r="O54" s="1422"/>
      <c r="P54" s="1422"/>
      <c r="Q54" s="1422"/>
      <c r="R54" s="1422"/>
      <c r="S54" s="1422"/>
      <c r="T54" s="1422"/>
      <c r="U54" s="1422"/>
      <c r="V54" s="1422"/>
      <c r="W54" s="1422"/>
      <c r="X54" s="1422"/>
      <c r="Y54" s="1422"/>
      <c r="Z54" s="1422"/>
      <c r="AA54" s="1422"/>
      <c r="AB54" s="1422"/>
      <c r="AC54" s="1422"/>
      <c r="AD54" s="1422"/>
      <c r="AE54" s="1422"/>
      <c r="AF54" s="1422"/>
      <c r="AG54" s="1422"/>
      <c r="AH54" s="1422"/>
      <c r="AI54" s="1422"/>
      <c r="AJ54" s="1422"/>
      <c r="AK54" s="1422"/>
      <c r="AL54" s="1422"/>
      <c r="AM54" s="1422"/>
      <c r="AN54" s="1422"/>
      <c r="AO54" s="1422"/>
      <c r="AP54" s="1422"/>
      <c r="AQ54" s="1422"/>
      <c r="AR54" s="1422"/>
      <c r="AS54" s="1422"/>
      <c r="AT54" s="1422"/>
      <c r="AU54" s="20"/>
      <c r="AV54" s="20"/>
      <c r="AW54" s="20"/>
      <c r="AX54" s="20"/>
      <c r="AY54" s="20"/>
      <c r="AZ54" s="21"/>
      <c r="BD54" s="1182" t="s">
        <v>2470</v>
      </c>
      <c r="BE54" s="1183" t="str">
        <f>Application!M268</f>
        <v>R2H Development LLC</v>
      </c>
    </row>
    <row r="55" spans="1:57" ht="12.95" customHeight="1">
      <c r="A55" s="1422"/>
      <c r="B55" s="1422"/>
      <c r="C55" s="1422"/>
      <c r="D55" s="1422"/>
      <c r="E55" s="1422"/>
      <c r="F55" s="1422"/>
      <c r="G55" s="1422"/>
      <c r="H55" s="1422"/>
      <c r="I55" s="1422"/>
      <c r="J55" s="1422"/>
      <c r="K55" s="1422"/>
      <c r="L55" s="1422"/>
      <c r="M55" s="1422"/>
      <c r="N55" s="1422"/>
      <c r="O55" s="1422"/>
      <c r="P55" s="1422"/>
      <c r="Q55" s="1422"/>
      <c r="R55" s="1422"/>
      <c r="S55" s="1422"/>
      <c r="T55" s="1422"/>
      <c r="U55" s="1422"/>
      <c r="V55" s="1422"/>
      <c r="W55" s="1422"/>
      <c r="X55" s="1422"/>
      <c r="Y55" s="1422"/>
      <c r="Z55" s="1422"/>
      <c r="AA55" s="1422"/>
      <c r="AB55" s="1422"/>
      <c r="AC55" s="1422"/>
      <c r="AD55" s="1422"/>
      <c r="AE55" s="1422"/>
      <c r="AF55" s="1422"/>
      <c r="AG55" s="1422"/>
      <c r="AH55" s="1422"/>
      <c r="AI55" s="1422"/>
      <c r="AJ55" s="1422"/>
      <c r="AK55" s="1422"/>
      <c r="AL55" s="1422"/>
      <c r="AM55" s="1422"/>
      <c r="AN55" s="1422"/>
      <c r="AO55" s="1422"/>
      <c r="AP55" s="1422"/>
      <c r="AQ55" s="1422"/>
      <c r="AR55" s="1422"/>
      <c r="AS55" s="1422"/>
      <c r="AT55" s="1422"/>
      <c r="AZ55" s="21"/>
      <c r="BD55" s="1181" t="s">
        <v>2471</v>
      </c>
      <c r="BE55" s="1183" t="str">
        <f>Application!M271</f>
        <v>Aaron Mensch</v>
      </c>
    </row>
    <row r="56" spans="1:57" ht="12.95" customHeight="1">
      <c r="A56" s="1422"/>
      <c r="B56" s="1422"/>
      <c r="C56" s="1422"/>
      <c r="D56" s="1422"/>
      <c r="E56" s="1422"/>
      <c r="F56" s="1422"/>
      <c r="G56" s="1422"/>
      <c r="H56" s="1422"/>
      <c r="I56" s="1422"/>
      <c r="J56" s="1422"/>
      <c r="K56" s="1422"/>
      <c r="L56" s="1422"/>
      <c r="M56" s="1422"/>
      <c r="N56" s="1422"/>
      <c r="O56" s="1422"/>
      <c r="P56" s="1422"/>
      <c r="Q56" s="1422"/>
      <c r="R56" s="1422"/>
      <c r="S56" s="1422"/>
      <c r="T56" s="1422"/>
      <c r="U56" s="1422"/>
      <c r="V56" s="1422"/>
      <c r="W56" s="1422"/>
      <c r="X56" s="1422"/>
      <c r="Y56" s="1422"/>
      <c r="Z56" s="1422"/>
      <c r="AA56" s="1422"/>
      <c r="AB56" s="1422"/>
      <c r="AC56" s="1422"/>
      <c r="AD56" s="1422"/>
      <c r="AE56" s="1422"/>
      <c r="AF56" s="1422"/>
      <c r="AG56" s="1422"/>
      <c r="AH56" s="1422"/>
      <c r="AI56" s="1422"/>
      <c r="AJ56" s="1422"/>
      <c r="AK56" s="1422"/>
      <c r="AL56" s="1422"/>
      <c r="AM56" s="1422"/>
      <c r="AN56" s="1422"/>
      <c r="AO56" s="1422"/>
      <c r="AP56" s="1422"/>
      <c r="AQ56" s="1422"/>
      <c r="AR56" s="1422"/>
      <c r="AS56" s="1422"/>
      <c r="AT56" s="1422"/>
      <c r="BD56" s="1182" t="s">
        <v>2472</v>
      </c>
      <c r="BE56" s="1183">
        <f>Application!AA274</f>
        <v>0</v>
      </c>
    </row>
    <row r="57" spans="1:57" ht="12.95" customHeight="1">
      <c r="A57" s="1422"/>
      <c r="B57" s="1422"/>
      <c r="C57" s="1422"/>
      <c r="D57" s="1422"/>
      <c r="E57" s="1422"/>
      <c r="F57" s="1422"/>
      <c r="G57" s="1422"/>
      <c r="H57" s="1422"/>
      <c r="I57" s="1422"/>
      <c r="J57" s="1422"/>
      <c r="K57" s="1422"/>
      <c r="L57" s="1422"/>
      <c r="M57" s="1422"/>
      <c r="N57" s="1422"/>
      <c r="O57" s="1422"/>
      <c r="P57" s="1422"/>
      <c r="Q57" s="1422"/>
      <c r="R57" s="1422"/>
      <c r="S57" s="1422"/>
      <c r="T57" s="1422"/>
      <c r="U57" s="1422"/>
      <c r="V57" s="1422"/>
      <c r="W57" s="1422"/>
      <c r="X57" s="1422"/>
      <c r="Y57" s="1422"/>
      <c r="Z57" s="1422"/>
      <c r="AA57" s="1422"/>
      <c r="AB57" s="1422"/>
      <c r="AC57" s="1422"/>
      <c r="AD57" s="1422"/>
      <c r="AE57" s="1422"/>
      <c r="AF57" s="1422"/>
      <c r="AG57" s="1422"/>
      <c r="AH57" s="1422"/>
      <c r="AI57" s="1422"/>
      <c r="AJ57" s="1422"/>
      <c r="AK57" s="1422"/>
      <c r="AL57" s="1422"/>
      <c r="AM57" s="1422"/>
      <c r="AN57" s="1422"/>
      <c r="AO57" s="1422"/>
      <c r="AP57" s="1422"/>
      <c r="AQ57" s="1422"/>
      <c r="AR57" s="1422"/>
      <c r="AS57" s="1422"/>
      <c r="AT57" s="1422"/>
      <c r="BD57" s="1181" t="s">
        <v>2473</v>
      </c>
      <c r="BE57" s="1183" t="str">
        <f>Application!H296</f>
        <v>R2H Development LLC</v>
      </c>
    </row>
    <row r="58" spans="1:57" ht="12.95" customHeight="1">
      <c r="A58" s="1422"/>
      <c r="B58" s="1422"/>
      <c r="C58" s="1422"/>
      <c r="D58" s="1422"/>
      <c r="E58" s="1422"/>
      <c r="F58" s="1422"/>
      <c r="G58" s="1422"/>
      <c r="H58" s="1422"/>
      <c r="I58" s="1422"/>
      <c r="J58" s="1422"/>
      <c r="K58" s="1422"/>
      <c r="L58" s="1422"/>
      <c r="M58" s="1422"/>
      <c r="N58" s="1422"/>
      <c r="O58" s="1422"/>
      <c r="P58" s="1422"/>
      <c r="Q58" s="1422"/>
      <c r="R58" s="1422"/>
      <c r="S58" s="1422"/>
      <c r="T58" s="1422"/>
      <c r="U58" s="1422"/>
      <c r="V58" s="1422"/>
      <c r="W58" s="1422"/>
      <c r="X58" s="1422"/>
      <c r="Y58" s="1422"/>
      <c r="Z58" s="1422"/>
      <c r="AA58" s="1422"/>
      <c r="AB58" s="1422"/>
      <c r="AC58" s="1422"/>
      <c r="AD58" s="1422"/>
      <c r="AE58" s="1422"/>
      <c r="AF58" s="1422"/>
      <c r="AG58" s="1422"/>
      <c r="AH58" s="1422"/>
      <c r="AI58" s="1422"/>
      <c r="AJ58" s="1422"/>
      <c r="AK58" s="1422"/>
      <c r="AL58" s="1422"/>
      <c r="AM58" s="1422"/>
      <c r="AN58" s="1422"/>
      <c r="AO58" s="1422"/>
      <c r="AP58" s="1422"/>
      <c r="AQ58" s="1422"/>
      <c r="AR58" s="1422"/>
      <c r="AS58" s="1422"/>
      <c r="AT58" s="1422"/>
      <c r="BD58" s="1182" t="s">
        <v>2474</v>
      </c>
      <c r="BE58" s="1183" t="str">
        <f>Application!H297</f>
        <v>12034 Nugent Dr</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2475</v>
      </c>
      <c r="BE59" s="1183" t="str">
        <f>Application!H298</f>
        <v>Granada Hills, CA 91344</v>
      </c>
    </row>
    <row r="60" spans="1:57" ht="12.95" customHeight="1">
      <c r="A60" s="1422" t="s">
        <v>2107</v>
      </c>
      <c r="B60" s="1422"/>
      <c r="C60" s="1422"/>
      <c r="D60" s="1422"/>
      <c r="E60" s="1422"/>
      <c r="F60" s="1422"/>
      <c r="G60" s="1422"/>
      <c r="H60" s="1422"/>
      <c r="I60" s="1422"/>
      <c r="J60" s="1422"/>
      <c r="K60" s="1422"/>
      <c r="L60" s="1422"/>
      <c r="M60" s="1422"/>
      <c r="N60" s="1422"/>
      <c r="O60" s="1422"/>
      <c r="P60" s="1422"/>
      <c r="Q60" s="1422"/>
      <c r="R60" s="1422"/>
      <c r="S60" s="1422"/>
      <c r="T60" s="1422"/>
      <c r="U60" s="1422"/>
      <c r="V60" s="1422"/>
      <c r="W60" s="1422"/>
      <c r="X60" s="1422"/>
      <c r="Y60" s="1422"/>
      <c r="Z60" s="1422"/>
      <c r="AA60" s="1422"/>
      <c r="AB60" s="1422"/>
      <c r="AC60" s="1422"/>
      <c r="AD60" s="1422"/>
      <c r="AE60" s="1422"/>
      <c r="AF60" s="1422"/>
      <c r="AG60" s="1422"/>
      <c r="AH60" s="1422"/>
      <c r="AI60" s="1422"/>
      <c r="AJ60" s="1422"/>
      <c r="AK60" s="1422"/>
      <c r="AL60" s="1422"/>
      <c r="AM60" s="1422"/>
      <c r="AN60" s="1422"/>
      <c r="AO60" s="1422"/>
      <c r="AP60" s="1422"/>
      <c r="AQ60" s="1422"/>
      <c r="AR60" s="1422"/>
      <c r="AS60" s="1422"/>
      <c r="AT60" s="1422"/>
      <c r="AU60" s="20"/>
      <c r="AV60" s="20"/>
      <c r="AW60" s="20"/>
      <c r="AX60" s="20"/>
      <c r="AY60" s="20"/>
      <c r="AZ60" s="20"/>
      <c r="BD60" s="1182" t="s">
        <v>2476</v>
      </c>
      <c r="BE60" s="1183" t="str">
        <f>Application!H299</f>
        <v>Aaron Mensch</v>
      </c>
    </row>
    <row r="61" spans="1:57" ht="12.95" customHeight="1">
      <c r="A61" s="1422"/>
      <c r="B61" s="1422"/>
      <c r="C61" s="1422"/>
      <c r="D61" s="1422"/>
      <c r="E61" s="1422"/>
      <c r="F61" s="1422"/>
      <c r="G61" s="1422"/>
      <c r="H61" s="1422"/>
      <c r="I61" s="1422"/>
      <c r="J61" s="1422"/>
      <c r="K61" s="1422"/>
      <c r="L61" s="1422"/>
      <c r="M61" s="1422"/>
      <c r="N61" s="1422"/>
      <c r="O61" s="1422"/>
      <c r="P61" s="1422"/>
      <c r="Q61" s="1422"/>
      <c r="R61" s="1422"/>
      <c r="S61" s="1422"/>
      <c r="T61" s="1422"/>
      <c r="U61" s="1422"/>
      <c r="V61" s="1422"/>
      <c r="W61" s="1422"/>
      <c r="X61" s="1422"/>
      <c r="Y61" s="1422"/>
      <c r="Z61" s="1422"/>
      <c r="AA61" s="1422"/>
      <c r="AB61" s="1422"/>
      <c r="AC61" s="1422"/>
      <c r="AD61" s="1422"/>
      <c r="AE61" s="1422"/>
      <c r="AF61" s="1422"/>
      <c r="AG61" s="1422"/>
      <c r="AH61" s="1422"/>
      <c r="AI61" s="1422"/>
      <c r="AJ61" s="1422"/>
      <c r="AK61" s="1422"/>
      <c r="AL61" s="1422"/>
      <c r="AM61" s="1422"/>
      <c r="AN61" s="1422"/>
      <c r="AO61" s="1422"/>
      <c r="AP61" s="1422"/>
      <c r="AQ61" s="1422"/>
      <c r="AR61" s="1422"/>
      <c r="AS61" s="1422"/>
      <c r="AT61" s="1422"/>
      <c r="AU61" s="20"/>
      <c r="AV61" s="20"/>
      <c r="AW61" s="20"/>
      <c r="AX61" s="20"/>
      <c r="AY61" s="20"/>
      <c r="AZ61" s="20"/>
      <c r="BD61" s="1181" t="s">
        <v>2477</v>
      </c>
      <c r="BE61" s="1183" t="str">
        <f>Application!H302</f>
        <v>aamensch@gmail.com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2478</v>
      </c>
      <c r="BE62" s="1186">
        <f>'Basis &amp; Credits'!AB50</f>
        <v>0.81991766210067152</v>
      </c>
    </row>
    <row r="63" spans="1:57" ht="12.95" customHeight="1">
      <c r="A63" s="91" t="s">
        <v>2108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1249</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2479</v>
      </c>
      <c r="BE64" s="1183" t="b">
        <f>Application!X180="Yes"</f>
        <v>0</v>
      </c>
    </row>
    <row r="65" spans="1:57" ht="12.95" customHeight="1">
      <c r="A65" s="1392" t="s">
        <v>2109</v>
      </c>
      <c r="B65" s="1392"/>
      <c r="C65" s="1392"/>
      <c r="D65" s="1392"/>
      <c r="E65" s="1392"/>
      <c r="F65" s="1392"/>
      <c r="G65" s="1392"/>
      <c r="H65" s="1392"/>
      <c r="I65" s="1392"/>
      <c r="J65" s="1392"/>
      <c r="K65" s="1392"/>
      <c r="L65" s="1392"/>
      <c r="M65" s="1392"/>
      <c r="N65" s="1392"/>
      <c r="O65" s="1392"/>
      <c r="P65" s="1392"/>
      <c r="Q65" s="1392"/>
      <c r="R65" s="1392"/>
      <c r="S65" s="1392"/>
      <c r="T65" s="1392"/>
      <c r="U65" s="1392"/>
      <c r="V65" s="1392"/>
      <c r="W65" s="1392"/>
      <c r="X65" s="1392"/>
      <c r="Y65" s="1392"/>
      <c r="Z65" s="1392"/>
      <c r="AA65" s="1392"/>
      <c r="AB65" s="1392"/>
      <c r="AC65" s="1392"/>
      <c r="AD65" s="1392"/>
      <c r="AE65" s="1392"/>
      <c r="AF65" s="1392"/>
      <c r="AG65" s="1392"/>
      <c r="AH65" s="1392"/>
      <c r="AI65" s="1392"/>
      <c r="AJ65" s="1392"/>
      <c r="AK65" s="1392"/>
      <c r="AL65" s="1392"/>
      <c r="AM65" s="1392"/>
      <c r="AN65" s="1392"/>
      <c r="AO65" s="1392"/>
      <c r="AP65" s="1392"/>
      <c r="AQ65" s="1392"/>
      <c r="AR65" s="1392"/>
      <c r="AS65" s="1392"/>
      <c r="AT65" s="1392"/>
      <c r="AU65" s="21"/>
      <c r="AV65" s="21"/>
      <c r="AW65" s="21"/>
      <c r="AX65" s="21"/>
      <c r="AY65" s="21"/>
      <c r="AZ65" s="20"/>
      <c r="BD65" s="1181" t="s">
        <v>2513</v>
      </c>
      <c r="BE65" s="1183" t="str">
        <f>Z205</f>
        <v>(select)</v>
      </c>
    </row>
    <row r="66" spans="1:57" ht="12.95" customHeight="1">
      <c r="A66" s="1392"/>
      <c r="B66" s="1392"/>
      <c r="C66" s="1392"/>
      <c r="D66" s="1392"/>
      <c r="E66" s="1392"/>
      <c r="F66" s="1392"/>
      <c r="G66" s="1392"/>
      <c r="H66" s="1392"/>
      <c r="I66" s="1392"/>
      <c r="J66" s="1392"/>
      <c r="K66" s="1392"/>
      <c r="L66" s="1392"/>
      <c r="M66" s="1392"/>
      <c r="N66" s="1392"/>
      <c r="O66" s="1392"/>
      <c r="P66" s="1392"/>
      <c r="Q66" s="1392"/>
      <c r="R66" s="1392"/>
      <c r="S66" s="1392"/>
      <c r="T66" s="1392"/>
      <c r="U66" s="1392"/>
      <c r="V66" s="1392"/>
      <c r="W66" s="1392"/>
      <c r="X66" s="1392"/>
      <c r="Y66" s="1392"/>
      <c r="Z66" s="1392"/>
      <c r="AA66" s="1392"/>
      <c r="AB66" s="1392"/>
      <c r="AC66" s="1392"/>
      <c r="AD66" s="1392"/>
      <c r="AE66" s="1392"/>
      <c r="AF66" s="1392"/>
      <c r="AG66" s="1392"/>
      <c r="AH66" s="1392"/>
      <c r="AI66" s="1392"/>
      <c r="AJ66" s="1392"/>
      <c r="AK66" s="1392"/>
      <c r="AL66" s="1392"/>
      <c r="AM66" s="1392"/>
      <c r="AN66" s="1392"/>
      <c r="AO66" s="1392"/>
      <c r="AP66" s="1392"/>
      <c r="AQ66" s="1392"/>
      <c r="AR66" s="1392"/>
      <c r="AS66" s="1392"/>
      <c r="AT66" s="1392"/>
      <c r="AU66" s="21"/>
      <c r="AV66" s="21"/>
      <c r="AW66" s="21"/>
      <c r="AX66" s="21"/>
      <c r="AY66" s="21"/>
      <c r="AZ66" s="20"/>
      <c r="BD66" s="1182" t="s">
        <v>2480</v>
      </c>
      <c r="BE66" s="1183" t="b">
        <f>Application!Z205="State Farmworker Credit"</f>
        <v>0</v>
      </c>
    </row>
    <row r="67" spans="1:57" ht="12.95" customHeight="1">
      <c r="A67" s="1392"/>
      <c r="B67" s="1392"/>
      <c r="C67" s="1392"/>
      <c r="D67" s="1392"/>
      <c r="E67" s="1392"/>
      <c r="F67" s="1392"/>
      <c r="G67" s="1392"/>
      <c r="H67" s="1392"/>
      <c r="I67" s="1392"/>
      <c r="J67" s="1392"/>
      <c r="K67" s="1392"/>
      <c r="L67" s="1392"/>
      <c r="M67" s="1392"/>
      <c r="N67" s="1392"/>
      <c r="O67" s="1392"/>
      <c r="P67" s="1392"/>
      <c r="Q67" s="1392"/>
      <c r="R67" s="1392"/>
      <c r="S67" s="1392"/>
      <c r="T67" s="1392"/>
      <c r="U67" s="1392"/>
      <c r="V67" s="1392"/>
      <c r="W67" s="1392"/>
      <c r="X67" s="1392"/>
      <c r="Y67" s="1392"/>
      <c r="Z67" s="1392"/>
      <c r="AA67" s="1392"/>
      <c r="AB67" s="1392"/>
      <c r="AC67" s="1392"/>
      <c r="AD67" s="1392"/>
      <c r="AE67" s="1392"/>
      <c r="AF67" s="1392"/>
      <c r="AG67" s="1392"/>
      <c r="AH67" s="1392"/>
      <c r="AI67" s="1392"/>
      <c r="AJ67" s="1392"/>
      <c r="AK67" s="1392"/>
      <c r="AL67" s="1392"/>
      <c r="AM67" s="1392"/>
      <c r="AN67" s="1392"/>
      <c r="AO67" s="1392"/>
      <c r="AP67" s="1392"/>
      <c r="AQ67" s="1392"/>
      <c r="AR67" s="1392"/>
      <c r="AS67" s="1392"/>
      <c r="AT67" s="1392"/>
      <c r="AZ67" s="20"/>
      <c r="BD67" s="1181" t="s">
        <v>2481</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2482</v>
      </c>
      <c r="BE68" s="1183">
        <f>'Sources and Uses Budget'!D105</f>
        <v>0</v>
      </c>
    </row>
    <row r="69" spans="1:57" ht="12.95" customHeight="1">
      <c r="A69" s="1392" t="s">
        <v>2110</v>
      </c>
      <c r="B69" s="1392"/>
      <c r="C69" s="1392"/>
      <c r="D69" s="1392"/>
      <c r="E69" s="1392"/>
      <c r="F69" s="1392"/>
      <c r="G69" s="1392"/>
      <c r="H69" s="1392"/>
      <c r="I69" s="1392"/>
      <c r="J69" s="1392"/>
      <c r="K69" s="1392"/>
      <c r="L69" s="1392"/>
      <c r="M69" s="1392"/>
      <c r="N69" s="1392"/>
      <c r="O69" s="1392"/>
      <c r="P69" s="1392"/>
      <c r="Q69" s="1392"/>
      <c r="R69" s="1392"/>
      <c r="S69" s="1392"/>
      <c r="T69" s="1392"/>
      <c r="U69" s="1392"/>
      <c r="V69" s="1392"/>
      <c r="W69" s="1392"/>
      <c r="X69" s="1392"/>
      <c r="Y69" s="1392"/>
      <c r="Z69" s="1392"/>
      <c r="AA69" s="1392"/>
      <c r="AB69" s="1392"/>
      <c r="AC69" s="1392"/>
      <c r="AD69" s="1392"/>
      <c r="AE69" s="1392"/>
      <c r="AF69" s="1392"/>
      <c r="AG69" s="1392"/>
      <c r="AH69" s="1392"/>
      <c r="AI69" s="1392"/>
      <c r="AJ69" s="1392"/>
      <c r="AK69" s="1392"/>
      <c r="AL69" s="1392"/>
      <c r="AM69" s="1392"/>
      <c r="AN69" s="1392"/>
      <c r="AO69" s="1392"/>
      <c r="AP69" s="1392"/>
      <c r="AQ69" s="1392"/>
      <c r="AR69" s="1392"/>
      <c r="AS69" s="1392"/>
      <c r="AT69" s="1392"/>
      <c r="AZ69" s="20"/>
      <c r="BD69" s="1181" t="s">
        <v>2483</v>
      </c>
      <c r="BE69" s="1183" t="str">
        <f>Application!W708</f>
        <v>CalHFA</v>
      </c>
    </row>
    <row r="70" spans="1:57" ht="12.95" customHeight="1">
      <c r="A70" s="1392"/>
      <c r="B70" s="1392"/>
      <c r="C70" s="1392"/>
      <c r="D70" s="1392"/>
      <c r="E70" s="1392"/>
      <c r="F70" s="1392"/>
      <c r="G70" s="1392"/>
      <c r="H70" s="1392"/>
      <c r="I70" s="1392"/>
      <c r="J70" s="1392"/>
      <c r="K70" s="1392"/>
      <c r="L70" s="1392"/>
      <c r="M70" s="1392"/>
      <c r="N70" s="1392"/>
      <c r="O70" s="1392"/>
      <c r="P70" s="1392"/>
      <c r="Q70" s="1392"/>
      <c r="R70" s="1392"/>
      <c r="S70" s="1392"/>
      <c r="T70" s="1392"/>
      <c r="U70" s="1392"/>
      <c r="V70" s="1392"/>
      <c r="W70" s="1392"/>
      <c r="X70" s="1392"/>
      <c r="Y70" s="1392"/>
      <c r="Z70" s="1392"/>
      <c r="AA70" s="1392"/>
      <c r="AB70" s="1392"/>
      <c r="AC70" s="1392"/>
      <c r="AD70" s="1392"/>
      <c r="AE70" s="1392"/>
      <c r="AF70" s="1392"/>
      <c r="AG70" s="1392"/>
      <c r="AH70" s="1392"/>
      <c r="AI70" s="1392"/>
      <c r="AJ70" s="1392"/>
      <c r="AK70" s="1392"/>
      <c r="AL70" s="1392"/>
      <c r="AM70" s="1392"/>
      <c r="AN70" s="1392"/>
      <c r="AO70" s="1392"/>
      <c r="AP70" s="1392"/>
      <c r="AQ70" s="1392"/>
      <c r="AR70" s="1392"/>
      <c r="AS70" s="1392"/>
      <c r="AT70" s="1392"/>
      <c r="AU70" s="20"/>
      <c r="AV70" s="20"/>
      <c r="AW70" s="20"/>
      <c r="AX70" s="20"/>
      <c r="AY70" s="20"/>
      <c r="AZ70" s="20"/>
      <c r="BD70" s="1182" t="s">
        <v>2484</v>
      </c>
      <c r="BE70" s="1183">
        <f ca="1">'Points System'!AF843</f>
        <v>111</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2605</v>
      </c>
      <c r="BE71" s="1183">
        <f>'Points System'!AF826</f>
        <v>0</v>
      </c>
    </row>
    <row r="72" spans="1:57" ht="12.95" customHeight="1">
      <c r="A72" s="1393" t="s">
        <v>2111</v>
      </c>
      <c r="B72" s="1393"/>
      <c r="C72" s="1393"/>
      <c r="D72" s="1393"/>
      <c r="E72" s="1393"/>
      <c r="F72" s="1393"/>
      <c r="G72" s="1393"/>
      <c r="H72" s="1393"/>
      <c r="I72" s="1393"/>
      <c r="J72" s="1393"/>
      <c r="K72" s="1393"/>
      <c r="L72" s="1393"/>
      <c r="M72" s="1393"/>
      <c r="N72" s="1393"/>
      <c r="O72" s="1393"/>
      <c r="P72" s="1393"/>
      <c r="Q72" s="1393"/>
      <c r="R72" s="1393"/>
      <c r="S72" s="1393"/>
      <c r="T72" s="1393"/>
      <c r="U72" s="1393"/>
      <c r="V72" s="1393"/>
      <c r="W72" s="1393"/>
      <c r="X72" s="1393"/>
      <c r="Y72" s="1393"/>
      <c r="Z72" s="1393"/>
      <c r="AA72" s="1393"/>
      <c r="AB72" s="1393"/>
      <c r="AC72" s="1393"/>
      <c r="AD72" s="1393"/>
      <c r="AE72" s="1393"/>
      <c r="AF72" s="1393"/>
      <c r="AG72" s="1393"/>
      <c r="AH72" s="1393"/>
      <c r="AI72" s="1393"/>
      <c r="AJ72" s="1393"/>
      <c r="AK72" s="1393"/>
      <c r="AL72" s="1393"/>
      <c r="AM72" s="1393"/>
      <c r="AN72" s="1393"/>
      <c r="AO72" s="1393"/>
      <c r="AP72" s="1393"/>
      <c r="AQ72" s="1393"/>
      <c r="AR72" s="1393"/>
      <c r="AS72" s="1393"/>
      <c r="AT72" s="1393"/>
      <c r="AU72" s="20"/>
      <c r="AV72" s="20"/>
      <c r="AW72" s="20"/>
      <c r="AX72" s="20"/>
      <c r="AY72" s="20"/>
      <c r="AZ72" s="20"/>
      <c r="BD72" s="1182" t="s">
        <v>2485</v>
      </c>
      <c r="BE72" s="1183">
        <f>'Points System'!AF827</f>
        <v>10</v>
      </c>
    </row>
    <row r="73" spans="1:57" ht="12.95" customHeight="1">
      <c r="A73" s="1393"/>
      <c r="B73" s="1393"/>
      <c r="C73" s="1393"/>
      <c r="D73" s="1393"/>
      <c r="E73" s="1393"/>
      <c r="F73" s="1393"/>
      <c r="G73" s="1393"/>
      <c r="H73" s="1393"/>
      <c r="I73" s="1393"/>
      <c r="J73" s="1393"/>
      <c r="K73" s="1393"/>
      <c r="L73" s="1393"/>
      <c r="M73" s="1393"/>
      <c r="N73" s="1393"/>
      <c r="O73" s="1393"/>
      <c r="P73" s="1393"/>
      <c r="Q73" s="1393"/>
      <c r="R73" s="1393"/>
      <c r="S73" s="1393"/>
      <c r="T73" s="1393"/>
      <c r="U73" s="1393"/>
      <c r="V73" s="1393"/>
      <c r="W73" s="1393"/>
      <c r="X73" s="1393"/>
      <c r="Y73" s="1393"/>
      <c r="Z73" s="1393"/>
      <c r="AA73" s="1393"/>
      <c r="AB73" s="1393"/>
      <c r="AC73" s="1393"/>
      <c r="AD73" s="1393"/>
      <c r="AE73" s="1393"/>
      <c r="AF73" s="1393"/>
      <c r="AG73" s="1393"/>
      <c r="AH73" s="1393"/>
      <c r="AI73" s="1393"/>
      <c r="AJ73" s="1393"/>
      <c r="AK73" s="1393"/>
      <c r="AL73" s="1393"/>
      <c r="AM73" s="1393"/>
      <c r="AN73" s="1393"/>
      <c r="AO73" s="1393"/>
      <c r="AP73" s="1393"/>
      <c r="AQ73" s="1393"/>
      <c r="AR73" s="1393"/>
      <c r="AS73" s="1393"/>
      <c r="AT73" s="1393"/>
      <c r="AU73" s="20"/>
      <c r="AV73" s="20"/>
      <c r="AW73" s="20"/>
      <c r="AX73" s="20"/>
      <c r="AY73" s="20"/>
      <c r="AZ73" s="20"/>
      <c r="BD73" s="1181" t="s">
        <v>2486</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2487</v>
      </c>
      <c r="BE74" s="1183">
        <f>'Points System'!AF829</f>
        <v>10</v>
      </c>
    </row>
    <row r="75" spans="1:57" ht="12.95" customHeight="1">
      <c r="A75" s="1717" t="s">
        <v>2112</v>
      </c>
      <c r="B75" s="1717"/>
      <c r="C75" s="1717"/>
      <c r="D75" s="1717"/>
      <c r="E75" s="1717"/>
      <c r="F75" s="1717"/>
      <c r="G75" s="1717"/>
      <c r="H75" s="1717"/>
      <c r="I75" s="1717"/>
      <c r="J75" s="1717"/>
      <c r="K75" s="1717"/>
      <c r="L75" s="1717"/>
      <c r="M75" s="1717"/>
      <c r="N75" s="1717"/>
      <c r="O75" s="1717"/>
      <c r="P75" s="1717"/>
      <c r="Q75" s="1717"/>
      <c r="R75" s="1717"/>
      <c r="S75" s="1717"/>
      <c r="T75" s="1717"/>
      <c r="U75" s="1717"/>
      <c r="V75" s="1717"/>
      <c r="W75" s="1717"/>
      <c r="X75" s="1717"/>
      <c r="Y75" s="1717"/>
      <c r="Z75" s="1717"/>
      <c r="AA75" s="1717"/>
      <c r="AB75" s="1717"/>
      <c r="AC75" s="1717"/>
      <c r="AD75" s="1717"/>
      <c r="AE75" s="1717"/>
      <c r="AF75" s="1717"/>
      <c r="AG75" s="1717"/>
      <c r="AH75" s="1717"/>
      <c r="AI75" s="1717"/>
      <c r="AJ75" s="1717"/>
      <c r="AK75" s="1717"/>
      <c r="AL75" s="1717"/>
      <c r="AM75" s="1717"/>
      <c r="AN75" s="1717"/>
      <c r="AO75" s="1717"/>
      <c r="AP75" s="1717"/>
      <c r="AQ75" s="1717"/>
      <c r="AR75" s="1717"/>
      <c r="AS75" s="1717"/>
      <c r="AT75" s="1717"/>
      <c r="AU75" s="20"/>
      <c r="AV75" s="20"/>
      <c r="AW75" s="20"/>
      <c r="AX75" s="20"/>
      <c r="AY75" s="20"/>
      <c r="AZ75" s="20"/>
      <c r="BD75" s="1181" t="s">
        <v>2488</v>
      </c>
      <c r="BE75" s="1183">
        <f>'Points System'!AF830</f>
        <v>10</v>
      </c>
    </row>
    <row r="76" spans="1:57" ht="12.95" customHeight="1">
      <c r="A76" s="1717"/>
      <c r="B76" s="1717"/>
      <c r="C76" s="1717"/>
      <c r="D76" s="1717"/>
      <c r="E76" s="1717"/>
      <c r="F76" s="1717"/>
      <c r="G76" s="1717"/>
      <c r="H76" s="1717"/>
      <c r="I76" s="1717"/>
      <c r="J76" s="1717"/>
      <c r="K76" s="1717"/>
      <c r="L76" s="1717"/>
      <c r="M76" s="1717"/>
      <c r="N76" s="1717"/>
      <c r="O76" s="1717"/>
      <c r="P76" s="1717"/>
      <c r="Q76" s="1717"/>
      <c r="R76" s="1717"/>
      <c r="S76" s="1717"/>
      <c r="T76" s="1717"/>
      <c r="U76" s="1717"/>
      <c r="V76" s="1717"/>
      <c r="W76" s="1717"/>
      <c r="X76" s="1717"/>
      <c r="Y76" s="1717"/>
      <c r="Z76" s="1717"/>
      <c r="AA76" s="1717"/>
      <c r="AB76" s="1717"/>
      <c r="AC76" s="1717"/>
      <c r="AD76" s="1717"/>
      <c r="AE76" s="1717"/>
      <c r="AF76" s="1717"/>
      <c r="AG76" s="1717"/>
      <c r="AH76" s="1717"/>
      <c r="AI76" s="1717"/>
      <c r="AJ76" s="1717"/>
      <c r="AK76" s="1717"/>
      <c r="AL76" s="1717"/>
      <c r="AM76" s="1717"/>
      <c r="AN76" s="1717"/>
      <c r="AO76" s="1717"/>
      <c r="AP76" s="1717"/>
      <c r="AQ76" s="1717"/>
      <c r="AR76" s="1717"/>
      <c r="AS76" s="1717"/>
      <c r="AT76" s="1717"/>
      <c r="AU76" s="20"/>
      <c r="AV76" s="20"/>
      <c r="AW76" s="20"/>
      <c r="AX76" s="20"/>
      <c r="AY76" s="20"/>
      <c r="AZ76" s="17"/>
      <c r="BD76" s="1182" t="s">
        <v>2489</v>
      </c>
      <c r="BE76" s="1183">
        <f>'Points System'!AF833</f>
        <v>10</v>
      </c>
    </row>
    <row r="77" spans="1:57" ht="12.95" customHeight="1">
      <c r="A77" s="1717"/>
      <c r="B77" s="1717"/>
      <c r="C77" s="1717"/>
      <c r="D77" s="1717"/>
      <c r="E77" s="1717"/>
      <c r="F77" s="1717"/>
      <c r="G77" s="1717"/>
      <c r="H77" s="1717"/>
      <c r="I77" s="1717"/>
      <c r="J77" s="1717"/>
      <c r="K77" s="1717"/>
      <c r="L77" s="1717"/>
      <c r="M77" s="1717"/>
      <c r="N77" s="1717"/>
      <c r="O77" s="1717"/>
      <c r="P77" s="1717"/>
      <c r="Q77" s="1717"/>
      <c r="R77" s="1717"/>
      <c r="S77" s="1717"/>
      <c r="T77" s="1717"/>
      <c r="U77" s="1717"/>
      <c r="V77" s="1717"/>
      <c r="W77" s="1717"/>
      <c r="X77" s="1717"/>
      <c r="Y77" s="1717"/>
      <c r="Z77" s="1717"/>
      <c r="AA77" s="1717"/>
      <c r="AB77" s="1717"/>
      <c r="AC77" s="1717"/>
      <c r="AD77" s="1717"/>
      <c r="AE77" s="1717"/>
      <c r="AF77" s="1717"/>
      <c r="AG77" s="1717"/>
      <c r="AH77" s="1717"/>
      <c r="AI77" s="1717"/>
      <c r="AJ77" s="1717"/>
      <c r="AK77" s="1717"/>
      <c r="AL77" s="1717"/>
      <c r="AM77" s="1717"/>
      <c r="AN77" s="1717"/>
      <c r="AO77" s="1717"/>
      <c r="AP77" s="1717"/>
      <c r="AQ77" s="1717"/>
      <c r="AR77" s="1717"/>
      <c r="AS77" s="1717"/>
      <c r="AT77" s="1717"/>
      <c r="AU77" s="20"/>
      <c r="AV77" s="20"/>
      <c r="AW77" s="20"/>
      <c r="AX77" s="20"/>
      <c r="AY77" s="20"/>
      <c r="AZ77" s="17"/>
      <c r="BD77" s="1181" t="s">
        <v>2490</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2491</v>
      </c>
      <c r="BE78" s="1183">
        <f>'Points System'!AF836</f>
        <v>10</v>
      </c>
    </row>
    <row r="79" spans="1:57" ht="12.95" customHeight="1">
      <c r="A79" s="1392" t="s">
        <v>2113</v>
      </c>
      <c r="B79" s="1392"/>
      <c r="C79" s="1392"/>
      <c r="D79" s="1392"/>
      <c r="E79" s="1392"/>
      <c r="F79" s="1392"/>
      <c r="G79" s="1392"/>
      <c r="H79" s="1392"/>
      <c r="I79" s="1392"/>
      <c r="J79" s="1392"/>
      <c r="K79" s="1392"/>
      <c r="L79" s="1392"/>
      <c r="M79" s="1392"/>
      <c r="N79" s="1392"/>
      <c r="O79" s="1392"/>
      <c r="P79" s="1392"/>
      <c r="Q79" s="1392"/>
      <c r="R79" s="1392"/>
      <c r="S79" s="1392"/>
      <c r="T79" s="1392"/>
      <c r="U79" s="1392"/>
      <c r="V79" s="1392"/>
      <c r="W79" s="1392"/>
      <c r="X79" s="1392"/>
      <c r="Y79" s="1392"/>
      <c r="Z79" s="1392"/>
      <c r="AA79" s="1392"/>
      <c r="AB79" s="1392"/>
      <c r="AC79" s="1392"/>
      <c r="AD79" s="1392"/>
      <c r="AE79" s="1392"/>
      <c r="AF79" s="1392"/>
      <c r="AG79" s="1392"/>
      <c r="AH79" s="1392"/>
      <c r="AI79" s="1392"/>
      <c r="AJ79" s="1392"/>
      <c r="AK79" s="1392"/>
      <c r="AL79" s="1392"/>
      <c r="AM79" s="1392"/>
      <c r="AN79" s="1392"/>
      <c r="AO79" s="1392"/>
      <c r="AP79" s="1392"/>
      <c r="AQ79" s="1392"/>
      <c r="AR79" s="1392"/>
      <c r="AS79" s="1392"/>
      <c r="AT79" s="1392"/>
      <c r="AU79" s="20"/>
      <c r="AV79" s="20"/>
      <c r="AW79" s="20"/>
      <c r="AX79" s="20"/>
      <c r="AY79" s="20"/>
      <c r="AZ79" s="20"/>
      <c r="BD79" s="1181" t="s">
        <v>2606</v>
      </c>
      <c r="BE79" s="1183">
        <f>'Points System'!AF837</f>
        <v>9</v>
      </c>
    </row>
    <row r="80" spans="1:57" ht="12.95" customHeight="1">
      <c r="A80" s="1392"/>
      <c r="B80" s="1392"/>
      <c r="C80" s="1392"/>
      <c r="D80" s="1392"/>
      <c r="E80" s="1392"/>
      <c r="F80" s="1392"/>
      <c r="G80" s="1392"/>
      <c r="H80" s="1392"/>
      <c r="I80" s="1392"/>
      <c r="J80" s="1392"/>
      <c r="K80" s="1392"/>
      <c r="L80" s="1392"/>
      <c r="M80" s="1392"/>
      <c r="N80" s="1392"/>
      <c r="O80" s="1392"/>
      <c r="P80" s="1392"/>
      <c r="Q80" s="1392"/>
      <c r="R80" s="1392"/>
      <c r="S80" s="1392"/>
      <c r="T80" s="1392"/>
      <c r="U80" s="1392"/>
      <c r="V80" s="1392"/>
      <c r="W80" s="1392"/>
      <c r="X80" s="1392"/>
      <c r="Y80" s="1392"/>
      <c r="Z80" s="1392"/>
      <c r="AA80" s="1392"/>
      <c r="AB80" s="1392"/>
      <c r="AC80" s="1392"/>
      <c r="AD80" s="1392"/>
      <c r="AE80" s="1392"/>
      <c r="AF80" s="1392"/>
      <c r="AG80" s="1392"/>
      <c r="AH80" s="1392"/>
      <c r="AI80" s="1392"/>
      <c r="AJ80" s="1392"/>
      <c r="AK80" s="1392"/>
      <c r="AL80" s="1392"/>
      <c r="AM80" s="1392"/>
      <c r="AN80" s="1392"/>
      <c r="AO80" s="1392"/>
      <c r="AP80" s="1392"/>
      <c r="AQ80" s="1392"/>
      <c r="AR80" s="1392"/>
      <c r="AS80" s="1392"/>
      <c r="AT80" s="1392"/>
      <c r="AU80" s="20"/>
      <c r="AV80" s="20"/>
      <c r="AW80" s="20"/>
      <c r="AX80" s="20"/>
      <c r="AY80" s="20"/>
      <c r="AZ80" s="20"/>
      <c r="BD80" s="1182" t="s">
        <v>2492</v>
      </c>
      <c r="BE80" s="1183">
        <f>'Points System'!AF839</f>
        <v>10</v>
      </c>
    </row>
    <row r="81" spans="1:57" ht="12.95" customHeight="1">
      <c r="A81" s="1392"/>
      <c r="B81" s="1392"/>
      <c r="C81" s="1392"/>
      <c r="D81" s="1392"/>
      <c r="E81" s="1392"/>
      <c r="F81" s="1392"/>
      <c r="G81" s="1392"/>
      <c r="H81" s="1392"/>
      <c r="I81" s="1392"/>
      <c r="J81" s="1392"/>
      <c r="K81" s="1392"/>
      <c r="L81" s="1392"/>
      <c r="M81" s="1392"/>
      <c r="N81" s="1392"/>
      <c r="O81" s="1392"/>
      <c r="P81" s="1392"/>
      <c r="Q81" s="1392"/>
      <c r="R81" s="1392"/>
      <c r="S81" s="1392"/>
      <c r="T81" s="1392"/>
      <c r="U81" s="1392"/>
      <c r="V81" s="1392"/>
      <c r="W81" s="1392"/>
      <c r="X81" s="1392"/>
      <c r="Y81" s="1392"/>
      <c r="Z81" s="1392"/>
      <c r="AA81" s="1392"/>
      <c r="AB81" s="1392"/>
      <c r="AC81" s="1392"/>
      <c r="AD81" s="1392"/>
      <c r="AE81" s="1392"/>
      <c r="AF81" s="1392"/>
      <c r="AG81" s="1392"/>
      <c r="AH81" s="1392"/>
      <c r="AI81" s="1392"/>
      <c r="AJ81" s="1392"/>
      <c r="AK81" s="1392"/>
      <c r="AL81" s="1392"/>
      <c r="AM81" s="1392"/>
      <c r="AN81" s="1392"/>
      <c r="AO81" s="1392"/>
      <c r="AP81" s="1392"/>
      <c r="AQ81" s="1392"/>
      <c r="AR81" s="1392"/>
      <c r="AS81" s="1392"/>
      <c r="AT81" s="1392"/>
      <c r="AU81" s="20"/>
      <c r="AV81" s="20"/>
      <c r="AW81" s="20"/>
      <c r="AX81" s="20"/>
      <c r="AY81" s="20"/>
      <c r="AZ81" s="20"/>
      <c r="BD81" s="1181" t="s">
        <v>2493</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2494</v>
      </c>
      <c r="BE82" s="1183">
        <f>'Points System'!AF841</f>
        <v>10</v>
      </c>
    </row>
    <row r="83" spans="1:57" ht="12.95" customHeight="1">
      <c r="A83" s="1422" t="s">
        <v>2114</v>
      </c>
      <c r="B83" s="1422"/>
      <c r="C83" s="1422"/>
      <c r="D83" s="1422"/>
      <c r="E83" s="1422"/>
      <c r="F83" s="1422"/>
      <c r="G83" s="1422"/>
      <c r="H83" s="1422"/>
      <c r="I83" s="1422"/>
      <c r="J83" s="1422"/>
      <c r="K83" s="1422"/>
      <c r="L83" s="1422"/>
      <c r="M83" s="1422"/>
      <c r="N83" s="1422"/>
      <c r="O83" s="1422"/>
      <c r="P83" s="1422"/>
      <c r="Q83" s="1422"/>
      <c r="R83" s="1422"/>
      <c r="S83" s="1422"/>
      <c r="T83" s="1422"/>
      <c r="U83" s="1422"/>
      <c r="V83" s="1422"/>
      <c r="W83" s="1422"/>
      <c r="X83" s="1422"/>
      <c r="Y83" s="1422"/>
      <c r="Z83" s="1422"/>
      <c r="AA83" s="1422"/>
      <c r="AB83" s="1422"/>
      <c r="AC83" s="1422"/>
      <c r="AD83" s="1422"/>
      <c r="AE83" s="1422"/>
      <c r="AF83" s="1422"/>
      <c r="AG83" s="1422"/>
      <c r="AH83" s="1422"/>
      <c r="AI83" s="1422"/>
      <c r="AJ83" s="1422"/>
      <c r="AK83" s="1422"/>
      <c r="AL83" s="1422"/>
      <c r="AM83" s="1422"/>
      <c r="AN83" s="1422"/>
      <c r="AO83" s="1422"/>
      <c r="AP83" s="1422"/>
      <c r="AQ83" s="1422"/>
      <c r="AR83" s="1422"/>
      <c r="AS83" s="1422"/>
      <c r="AT83" s="1422"/>
      <c r="AU83" s="20"/>
      <c r="AV83" s="20"/>
      <c r="AW83" s="20"/>
      <c r="AX83" s="20"/>
      <c r="AY83" s="20"/>
      <c r="AZ83" s="20"/>
      <c r="BD83" s="1181" t="s">
        <v>2495</v>
      </c>
      <c r="BE83" s="1187">
        <f>'Tie Breaker'!H5</f>
        <v>3.5588225102954834</v>
      </c>
    </row>
    <row r="84" spans="1:57" ht="12.95" customHeight="1">
      <c r="A84" s="1422"/>
      <c r="B84" s="1422"/>
      <c r="C84" s="1422"/>
      <c r="D84" s="1422"/>
      <c r="E84" s="1422"/>
      <c r="F84" s="1422"/>
      <c r="G84" s="1422"/>
      <c r="H84" s="1422"/>
      <c r="I84" s="1422"/>
      <c r="J84" s="1422"/>
      <c r="K84" s="1422"/>
      <c r="L84" s="1422"/>
      <c r="M84" s="1422"/>
      <c r="N84" s="1422"/>
      <c r="O84" s="1422"/>
      <c r="P84" s="1422"/>
      <c r="Q84" s="1422"/>
      <c r="R84" s="1422"/>
      <c r="S84" s="1422"/>
      <c r="T84" s="1422"/>
      <c r="U84" s="1422"/>
      <c r="V84" s="1422"/>
      <c r="W84" s="1422"/>
      <c r="X84" s="1422"/>
      <c r="Y84" s="1422"/>
      <c r="Z84" s="1422"/>
      <c r="AA84" s="1422"/>
      <c r="AB84" s="1422"/>
      <c r="AC84" s="1422"/>
      <c r="AD84" s="1422"/>
      <c r="AE84" s="1422"/>
      <c r="AF84" s="1422"/>
      <c r="AG84" s="1422"/>
      <c r="AH84" s="1422"/>
      <c r="AI84" s="1422"/>
      <c r="AJ84" s="1422"/>
      <c r="AK84" s="1422"/>
      <c r="AL84" s="1422"/>
      <c r="AM84" s="1422"/>
      <c r="AN84" s="1422"/>
      <c r="AO84" s="1422"/>
      <c r="AP84" s="1422"/>
      <c r="AQ84" s="1422"/>
      <c r="AR84" s="1422"/>
      <c r="AS84" s="1422"/>
      <c r="AT84" s="1422"/>
      <c r="AU84" s="20"/>
      <c r="AV84" s="20"/>
      <c r="AW84" s="20"/>
      <c r="AX84" s="20"/>
      <c r="AY84" s="20"/>
      <c r="AZ84" s="20"/>
      <c r="BD84" s="1182" t="s">
        <v>2496</v>
      </c>
      <c r="BE84" s="1183"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2497</v>
      </c>
      <c r="BE85" s="1183" t="str">
        <f>Application!O154</f>
        <v>Timothy Elliott</v>
      </c>
    </row>
    <row r="86" spans="1:57" ht="12.95" customHeight="1">
      <c r="A86" s="1422" t="s">
        <v>2115</v>
      </c>
      <c r="B86" s="1422"/>
      <c r="C86" s="1422"/>
      <c r="D86" s="1422"/>
      <c r="E86" s="1422"/>
      <c r="F86" s="1422"/>
      <c r="G86" s="1422"/>
      <c r="H86" s="1422"/>
      <c r="I86" s="1422"/>
      <c r="J86" s="1422"/>
      <c r="K86" s="1422"/>
      <c r="L86" s="1422"/>
      <c r="M86" s="1422"/>
      <c r="N86" s="1422"/>
      <c r="O86" s="1422"/>
      <c r="P86" s="1422"/>
      <c r="Q86" s="1422"/>
      <c r="R86" s="1422"/>
      <c r="S86" s="1422"/>
      <c r="T86" s="1422"/>
      <c r="U86" s="1422"/>
      <c r="V86" s="1422"/>
      <c r="W86" s="1422"/>
      <c r="X86" s="1422"/>
      <c r="Y86" s="1422"/>
      <c r="Z86" s="1422"/>
      <c r="AA86" s="1422"/>
      <c r="AB86" s="1422"/>
      <c r="AC86" s="1422"/>
      <c r="AD86" s="1422"/>
      <c r="AE86" s="1422"/>
      <c r="AF86" s="1422"/>
      <c r="AG86" s="1422"/>
      <c r="AH86" s="1422"/>
      <c r="AI86" s="1422"/>
      <c r="AJ86" s="1422"/>
      <c r="AK86" s="1422"/>
      <c r="AL86" s="1422"/>
      <c r="AM86" s="1422"/>
      <c r="AN86" s="1422"/>
      <c r="AO86" s="1422"/>
      <c r="AP86" s="1422"/>
      <c r="AQ86" s="1422"/>
      <c r="AR86" s="1422"/>
      <c r="AS86" s="1422"/>
      <c r="AT86" s="1422"/>
      <c r="AU86" s="20"/>
      <c r="AV86" s="20"/>
      <c r="AW86" s="20"/>
      <c r="AX86" s="20"/>
      <c r="AY86" s="20"/>
      <c r="AZ86" s="20"/>
      <c r="BD86" s="1182" t="s">
        <v>2498</v>
      </c>
      <c r="BE86" s="1183" t="str">
        <f>Application!O155</f>
        <v>Community Housing Program Manager</v>
      </c>
    </row>
    <row r="87" spans="1:57" ht="12.95" customHeight="1">
      <c r="A87" s="1422"/>
      <c r="B87" s="1422"/>
      <c r="C87" s="1422"/>
      <c r="D87" s="1422"/>
      <c r="E87" s="1422"/>
      <c r="F87" s="1422"/>
      <c r="G87" s="1422"/>
      <c r="H87" s="1422"/>
      <c r="I87" s="1422"/>
      <c r="J87" s="1422"/>
      <c r="K87" s="1422"/>
      <c r="L87" s="1422"/>
      <c r="M87" s="1422"/>
      <c r="N87" s="1422"/>
      <c r="O87" s="1422"/>
      <c r="P87" s="1422"/>
      <c r="Q87" s="1422"/>
      <c r="R87" s="1422"/>
      <c r="S87" s="1422"/>
      <c r="T87" s="1422"/>
      <c r="U87" s="1422"/>
      <c r="V87" s="1422"/>
      <c r="W87" s="1422"/>
      <c r="X87" s="1422"/>
      <c r="Y87" s="1422"/>
      <c r="Z87" s="1422"/>
      <c r="AA87" s="1422"/>
      <c r="AB87" s="1422"/>
      <c r="AC87" s="1422"/>
      <c r="AD87" s="1422"/>
      <c r="AE87" s="1422"/>
      <c r="AF87" s="1422"/>
      <c r="AG87" s="1422"/>
      <c r="AH87" s="1422"/>
      <c r="AI87" s="1422"/>
      <c r="AJ87" s="1422"/>
      <c r="AK87" s="1422"/>
      <c r="AL87" s="1422"/>
      <c r="AM87" s="1422"/>
      <c r="AN87" s="1422"/>
      <c r="AO87" s="1422"/>
      <c r="AP87" s="1422"/>
      <c r="AQ87" s="1422"/>
      <c r="AR87" s="1422"/>
      <c r="AS87" s="1422"/>
      <c r="AT87" s="1422"/>
      <c r="AU87" s="20"/>
      <c r="AV87" s="20"/>
      <c r="AW87" s="20"/>
      <c r="AX87" s="20"/>
      <c r="AY87" s="20"/>
      <c r="AZ87" s="20"/>
      <c r="BD87" s="1181" t="s">
        <v>2499</v>
      </c>
      <c r="BE87" s="1183"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2500</v>
      </c>
      <c r="BE88" s="1183" t="str">
        <f>Application!O157</f>
        <v>Los Angeles</v>
      </c>
    </row>
    <row r="89" spans="1:57" ht="12.95" customHeight="1">
      <c r="A89" s="1716" t="s">
        <v>2116</v>
      </c>
      <c r="B89" s="1716"/>
      <c r="C89" s="1716"/>
      <c r="D89" s="1716"/>
      <c r="E89" s="1716"/>
      <c r="F89" s="1716"/>
      <c r="G89" s="1716"/>
      <c r="H89" s="1716"/>
      <c r="I89" s="1716"/>
      <c r="J89" s="1716"/>
      <c r="K89" s="1716"/>
      <c r="L89" s="1716"/>
      <c r="M89" s="1716"/>
      <c r="N89" s="1716"/>
      <c r="O89" s="1716"/>
      <c r="P89" s="1716"/>
      <c r="Q89" s="1716"/>
      <c r="R89" s="1716"/>
      <c r="S89" s="1716"/>
      <c r="T89" s="1716"/>
      <c r="U89" s="1716"/>
      <c r="V89" s="1716"/>
      <c r="W89" s="1716"/>
      <c r="X89" s="1716"/>
      <c r="Y89" s="1716"/>
      <c r="Z89" s="1716"/>
      <c r="AA89" s="1716"/>
      <c r="AB89" s="1716"/>
      <c r="AC89" s="1716"/>
      <c r="AD89" s="1716"/>
      <c r="AE89" s="1716"/>
      <c r="AF89" s="1716"/>
      <c r="AG89" s="1716"/>
      <c r="AH89" s="1716"/>
      <c r="AI89" s="1716"/>
      <c r="AJ89" s="1716"/>
      <c r="AK89" s="1716"/>
      <c r="AL89" s="1716"/>
      <c r="AM89" s="1716"/>
      <c r="AN89" s="1716"/>
      <c r="AO89" s="1716"/>
      <c r="AP89" s="1716"/>
      <c r="AQ89" s="1716"/>
      <c r="AR89" s="1716"/>
      <c r="AS89" s="1716"/>
      <c r="AT89" s="1716"/>
      <c r="AU89" s="17"/>
      <c r="AV89" s="17"/>
      <c r="AW89" s="17"/>
      <c r="AX89" s="17"/>
      <c r="AY89" s="17"/>
      <c r="AZ89" s="20"/>
      <c r="BD89" s="1181" t="s">
        <v>2501</v>
      </c>
      <c r="BE89" s="1183">
        <f>Application!O158</f>
        <v>90017</v>
      </c>
    </row>
    <row r="90" spans="1:57" ht="12.95" customHeight="1">
      <c r="A90" s="1716"/>
      <c r="B90" s="1716"/>
      <c r="C90" s="1716"/>
      <c r="D90" s="1716"/>
      <c r="E90" s="1716"/>
      <c r="F90" s="1716"/>
      <c r="G90" s="1716"/>
      <c r="H90" s="1716"/>
      <c r="I90" s="1716"/>
      <c r="J90" s="1716"/>
      <c r="K90" s="1716"/>
      <c r="L90" s="1716"/>
      <c r="M90" s="1716"/>
      <c r="N90" s="1716"/>
      <c r="O90" s="1716"/>
      <c r="P90" s="1716"/>
      <c r="Q90" s="1716"/>
      <c r="R90" s="1716"/>
      <c r="S90" s="1716"/>
      <c r="T90" s="1716"/>
      <c r="U90" s="1716"/>
      <c r="V90" s="1716"/>
      <c r="W90" s="1716"/>
      <c r="X90" s="1716"/>
      <c r="Y90" s="1716"/>
      <c r="Z90" s="1716"/>
      <c r="AA90" s="1716"/>
      <c r="AB90" s="1716"/>
      <c r="AC90" s="1716"/>
      <c r="AD90" s="1716"/>
      <c r="AE90" s="1716"/>
      <c r="AF90" s="1716"/>
      <c r="AG90" s="1716"/>
      <c r="AH90" s="1716"/>
      <c r="AI90" s="1716"/>
      <c r="AJ90" s="1716"/>
      <c r="AK90" s="1716"/>
      <c r="AL90" s="1716"/>
      <c r="AM90" s="1716"/>
      <c r="AN90" s="1716"/>
      <c r="AO90" s="1716"/>
      <c r="AP90" s="1716"/>
      <c r="AQ90" s="1716"/>
      <c r="AR90" s="1716"/>
      <c r="AS90" s="1716"/>
      <c r="AT90" s="1716"/>
      <c r="AU90" s="17"/>
      <c r="AV90" s="17"/>
      <c r="AW90" s="17"/>
      <c r="AX90" s="17"/>
      <c r="AY90" s="17"/>
      <c r="AZ90" s="20"/>
      <c r="BD90" s="1182" t="s">
        <v>2502</v>
      </c>
      <c r="BE90" s="1183" t="str">
        <f>Application!H16</f>
        <v>Olive Branch Community Development Inc.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2503</v>
      </c>
      <c r="BE91" s="1183" t="str">
        <f>Application!M242</f>
        <v>6451 Box Springs Blvd.</v>
      </c>
    </row>
    <row r="92" spans="1:57" ht="12.95" customHeight="1">
      <c r="A92" s="1717" t="s">
        <v>2117</v>
      </c>
      <c r="B92" s="1717"/>
      <c r="C92" s="1717"/>
      <c r="D92" s="1717"/>
      <c r="E92" s="1717"/>
      <c r="F92" s="1717"/>
      <c r="G92" s="1717"/>
      <c r="H92" s="1717"/>
      <c r="I92" s="1717"/>
      <c r="J92" s="1717"/>
      <c r="K92" s="1717"/>
      <c r="L92" s="1717"/>
      <c r="M92" s="1717"/>
      <c r="N92" s="1717"/>
      <c r="O92" s="1717"/>
      <c r="P92" s="1717"/>
      <c r="Q92" s="1717"/>
      <c r="R92" s="1717"/>
      <c r="S92" s="1717"/>
      <c r="T92" s="1717"/>
      <c r="U92" s="1717"/>
      <c r="V92" s="1717"/>
      <c r="W92" s="1717"/>
      <c r="X92" s="1717"/>
      <c r="Y92" s="1717"/>
      <c r="Z92" s="1717"/>
      <c r="AA92" s="1717"/>
      <c r="AB92" s="1717"/>
      <c r="AC92" s="1717"/>
      <c r="AD92" s="1717"/>
      <c r="AE92" s="1717"/>
      <c r="AF92" s="1717"/>
      <c r="AG92" s="1717"/>
      <c r="AH92" s="1717"/>
      <c r="AI92" s="1717"/>
      <c r="AJ92" s="1717"/>
      <c r="AK92" s="1717"/>
      <c r="AL92" s="1717"/>
      <c r="AM92" s="1717"/>
      <c r="AN92" s="1717"/>
      <c r="AO92" s="1717"/>
      <c r="AP92" s="1717"/>
      <c r="AQ92" s="1717"/>
      <c r="AR92" s="1717"/>
      <c r="AS92" s="1717"/>
      <c r="AT92" s="1717"/>
      <c r="AU92" s="20"/>
      <c r="AV92" s="20"/>
      <c r="AW92" s="20"/>
      <c r="AX92" s="20"/>
      <c r="AY92" s="20"/>
      <c r="AZ92" s="20"/>
      <c r="BD92" s="1182" t="s">
        <v>2504</v>
      </c>
      <c r="BE92" s="1183" t="str">
        <f>Application!M243</f>
        <v>Riverside</v>
      </c>
    </row>
    <row r="93" spans="1:57" ht="12.95" customHeight="1">
      <c r="A93" s="1717"/>
      <c r="B93" s="1717"/>
      <c r="C93" s="1717"/>
      <c r="D93" s="1717"/>
      <c r="E93" s="1717"/>
      <c r="F93" s="1717"/>
      <c r="G93" s="1717"/>
      <c r="H93" s="1717"/>
      <c r="I93" s="1717"/>
      <c r="J93" s="1717"/>
      <c r="K93" s="1717"/>
      <c r="L93" s="1717"/>
      <c r="M93" s="1717"/>
      <c r="N93" s="1717"/>
      <c r="O93" s="1717"/>
      <c r="P93" s="1717"/>
      <c r="Q93" s="1717"/>
      <c r="R93" s="1717"/>
      <c r="S93" s="1717"/>
      <c r="T93" s="1717"/>
      <c r="U93" s="1717"/>
      <c r="V93" s="1717"/>
      <c r="W93" s="1717"/>
      <c r="X93" s="1717"/>
      <c r="Y93" s="1717"/>
      <c r="Z93" s="1717"/>
      <c r="AA93" s="1717"/>
      <c r="AB93" s="1717"/>
      <c r="AC93" s="1717"/>
      <c r="AD93" s="1717"/>
      <c r="AE93" s="1717"/>
      <c r="AF93" s="1717"/>
      <c r="AG93" s="1717"/>
      <c r="AH93" s="1717"/>
      <c r="AI93" s="1717"/>
      <c r="AJ93" s="1717"/>
      <c r="AK93" s="1717"/>
      <c r="AL93" s="1717"/>
      <c r="AM93" s="1717"/>
      <c r="AN93" s="1717"/>
      <c r="AO93" s="1717"/>
      <c r="AP93" s="1717"/>
      <c r="AQ93" s="1717"/>
      <c r="AR93" s="1717"/>
      <c r="AS93" s="1717"/>
      <c r="AT93" s="1717"/>
      <c r="AU93" s="20"/>
      <c r="AV93" s="20"/>
      <c r="AW93" s="20"/>
      <c r="AX93" s="20"/>
      <c r="AY93" s="20"/>
      <c r="AZ93" s="20"/>
      <c r="BD93" s="1181" t="s">
        <v>2505</v>
      </c>
      <c r="BE93" s="1183" t="str">
        <f>Application!W243</f>
        <v>CA</v>
      </c>
    </row>
    <row r="94" spans="1:57" ht="12.95" customHeight="1">
      <c r="A94" s="1717"/>
      <c r="B94" s="1717"/>
      <c r="C94" s="1717"/>
      <c r="D94" s="1717"/>
      <c r="E94" s="1717"/>
      <c r="F94" s="1717"/>
      <c r="G94" s="1717"/>
      <c r="H94" s="1717"/>
      <c r="I94" s="1717"/>
      <c r="J94" s="1717"/>
      <c r="K94" s="1717"/>
      <c r="L94" s="1717"/>
      <c r="M94" s="1717"/>
      <c r="N94" s="1717"/>
      <c r="O94" s="1717"/>
      <c r="P94" s="1717"/>
      <c r="Q94" s="1717"/>
      <c r="R94" s="1717"/>
      <c r="S94" s="1717"/>
      <c r="T94" s="1717"/>
      <c r="U94" s="1717"/>
      <c r="V94" s="1717"/>
      <c r="W94" s="1717"/>
      <c r="X94" s="1717"/>
      <c r="Y94" s="1717"/>
      <c r="Z94" s="1717"/>
      <c r="AA94" s="1717"/>
      <c r="AB94" s="1717"/>
      <c r="AC94" s="1717"/>
      <c r="AD94" s="1717"/>
      <c r="AE94" s="1717"/>
      <c r="AF94" s="1717"/>
      <c r="AG94" s="1717"/>
      <c r="AH94" s="1717"/>
      <c r="AI94" s="1717"/>
      <c r="AJ94" s="1717"/>
      <c r="AK94" s="1717"/>
      <c r="AL94" s="1717"/>
      <c r="AM94" s="1717"/>
      <c r="AN94" s="1717"/>
      <c r="AO94" s="1717"/>
      <c r="AP94" s="1717"/>
      <c r="AQ94" s="1717"/>
      <c r="AR94" s="1717"/>
      <c r="AS94" s="1717"/>
      <c r="AT94" s="1717"/>
      <c r="AU94" s="20"/>
      <c r="AV94" s="20"/>
      <c r="AW94" s="20"/>
      <c r="AX94" s="20"/>
      <c r="AY94" s="20"/>
      <c r="AZ94" s="20"/>
      <c r="BD94" s="1182" t="s">
        <v>2506</v>
      </c>
      <c r="BE94" s="1183">
        <f>Application!AC243</f>
        <v>92507</v>
      </c>
    </row>
    <row r="95" spans="1:57" ht="12.95" customHeight="1">
      <c r="A95" s="1717"/>
      <c r="B95" s="1717"/>
      <c r="C95" s="1717"/>
      <c r="D95" s="1717"/>
      <c r="E95" s="1717"/>
      <c r="F95" s="1717"/>
      <c r="G95" s="1717"/>
      <c r="H95" s="1717"/>
      <c r="I95" s="1717"/>
      <c r="J95" s="1717"/>
      <c r="K95" s="1717"/>
      <c r="L95" s="1717"/>
      <c r="M95" s="1717"/>
      <c r="N95" s="1717"/>
      <c r="O95" s="1717"/>
      <c r="P95" s="1717"/>
      <c r="Q95" s="1717"/>
      <c r="R95" s="1717"/>
      <c r="S95" s="1717"/>
      <c r="T95" s="1717"/>
      <c r="U95" s="1717"/>
      <c r="V95" s="1717"/>
      <c r="W95" s="1717"/>
      <c r="X95" s="1717"/>
      <c r="Y95" s="1717"/>
      <c r="Z95" s="1717"/>
      <c r="AA95" s="1717"/>
      <c r="AB95" s="1717"/>
      <c r="AC95" s="1717"/>
      <c r="AD95" s="1717"/>
      <c r="AE95" s="1717"/>
      <c r="AF95" s="1717"/>
      <c r="AG95" s="1717"/>
      <c r="AH95" s="1717"/>
      <c r="AI95" s="1717"/>
      <c r="AJ95" s="1717"/>
      <c r="AK95" s="1717"/>
      <c r="AL95" s="1717"/>
      <c r="AM95" s="1717"/>
      <c r="AN95" s="1717"/>
      <c r="AO95" s="1717"/>
      <c r="AP95" s="1717"/>
      <c r="AQ95" s="1717"/>
      <c r="AR95" s="1717"/>
      <c r="AS95" s="1717"/>
      <c r="AT95" s="1717"/>
      <c r="AU95" s="20"/>
      <c r="AV95" s="20"/>
      <c r="AW95" s="20"/>
      <c r="AX95" s="20"/>
      <c r="AY95" s="20"/>
      <c r="AZ95" s="20"/>
      <c r="BD95" s="1181" t="s">
        <v>2507</v>
      </c>
      <c r="BE95" s="1183" t="str">
        <f>Application!M244</f>
        <v>Maria Medina</v>
      </c>
    </row>
    <row r="96" spans="1:57" ht="12.95" customHeight="1">
      <c r="A96" s="1717"/>
      <c r="B96" s="1717"/>
      <c r="C96" s="1717"/>
      <c r="D96" s="1717"/>
      <c r="E96" s="1717"/>
      <c r="F96" s="1717"/>
      <c r="G96" s="1717"/>
      <c r="H96" s="1717"/>
      <c r="I96" s="1717"/>
      <c r="J96" s="1717"/>
      <c r="K96" s="1717"/>
      <c r="L96" s="1717"/>
      <c r="M96" s="1717"/>
      <c r="N96" s="1717"/>
      <c r="O96" s="1717"/>
      <c r="P96" s="1717"/>
      <c r="Q96" s="1717"/>
      <c r="R96" s="1717"/>
      <c r="S96" s="1717"/>
      <c r="T96" s="1717"/>
      <c r="U96" s="1717"/>
      <c r="V96" s="1717"/>
      <c r="W96" s="1717"/>
      <c r="X96" s="1717"/>
      <c r="Y96" s="1717"/>
      <c r="Z96" s="1717"/>
      <c r="AA96" s="1717"/>
      <c r="AB96" s="1717"/>
      <c r="AC96" s="1717"/>
      <c r="AD96" s="1717"/>
      <c r="AE96" s="1717"/>
      <c r="AF96" s="1717"/>
      <c r="AG96" s="1717"/>
      <c r="AH96" s="1717"/>
      <c r="AI96" s="1717"/>
      <c r="AJ96" s="1717"/>
      <c r="AK96" s="1717"/>
      <c r="AL96" s="1717"/>
      <c r="AM96" s="1717"/>
      <c r="AN96" s="1717"/>
      <c r="AO96" s="1717"/>
      <c r="AP96" s="1717"/>
      <c r="AQ96" s="1717"/>
      <c r="AR96" s="1717"/>
      <c r="AS96" s="1717"/>
      <c r="AT96" s="1717"/>
      <c r="AU96" s="20"/>
      <c r="AV96" s="20"/>
      <c r="AW96" s="20"/>
      <c r="AX96" s="20"/>
      <c r="AY96" s="20"/>
      <c r="AZ96" s="20"/>
      <c r="BD96" s="1182" t="s">
        <v>2508</v>
      </c>
      <c r="BE96" s="1183" t="str">
        <f>Application!M246</f>
        <v>mariaolivebranchcd@outlook.com</v>
      </c>
    </row>
    <row r="97" spans="1:57" ht="12.95" customHeight="1">
      <c r="A97" s="1717"/>
      <c r="B97" s="1717"/>
      <c r="C97" s="1717"/>
      <c r="D97" s="1717"/>
      <c r="E97" s="1717"/>
      <c r="F97" s="1717"/>
      <c r="G97" s="1717"/>
      <c r="H97" s="1717"/>
      <c r="I97" s="1717"/>
      <c r="J97" s="1717"/>
      <c r="K97" s="1717"/>
      <c r="L97" s="1717"/>
      <c r="M97" s="1717"/>
      <c r="N97" s="1717"/>
      <c r="O97" s="1717"/>
      <c r="P97" s="1717"/>
      <c r="Q97" s="1717"/>
      <c r="R97" s="1717"/>
      <c r="S97" s="1717"/>
      <c r="T97" s="1717"/>
      <c r="U97" s="1717"/>
      <c r="V97" s="1717"/>
      <c r="W97" s="1717"/>
      <c r="X97" s="1717"/>
      <c r="Y97" s="1717"/>
      <c r="Z97" s="1717"/>
      <c r="AA97" s="1717"/>
      <c r="AB97" s="1717"/>
      <c r="AC97" s="1717"/>
      <c r="AD97" s="1717"/>
      <c r="AE97" s="1717"/>
      <c r="AF97" s="1717"/>
      <c r="AG97" s="1717"/>
      <c r="AH97" s="1717"/>
      <c r="AI97" s="1717"/>
      <c r="AJ97" s="1717"/>
      <c r="AK97" s="1717"/>
      <c r="AL97" s="1717"/>
      <c r="AM97" s="1717"/>
      <c r="AN97" s="1717"/>
      <c r="AO97" s="1717"/>
      <c r="AP97" s="1717"/>
      <c r="AQ97" s="1717"/>
      <c r="AR97" s="1717"/>
      <c r="AS97" s="1717"/>
      <c r="AT97" s="1717"/>
      <c r="AU97" s="20"/>
      <c r="AV97" s="20"/>
      <c r="AW97" s="20"/>
      <c r="AX97" s="20"/>
      <c r="AY97" s="20"/>
      <c r="AZ97" s="20"/>
      <c r="BD97" s="1181" t="s">
        <v>2509</v>
      </c>
      <c r="BE97" s="1183" t="str">
        <f>Application!M257</f>
        <v>William@kingdomdevelopment.net</v>
      </c>
    </row>
    <row r="98" spans="1:57" ht="12.95" customHeight="1">
      <c r="A98" s="1717"/>
      <c r="B98" s="1717"/>
      <c r="C98" s="1717"/>
      <c r="D98" s="1717"/>
      <c r="E98" s="1717"/>
      <c r="F98" s="1717"/>
      <c r="G98" s="1717"/>
      <c r="H98" s="1717"/>
      <c r="I98" s="1717"/>
      <c r="J98" s="1717"/>
      <c r="K98" s="1717"/>
      <c r="L98" s="1717"/>
      <c r="M98" s="1717"/>
      <c r="N98" s="1717"/>
      <c r="O98" s="1717"/>
      <c r="P98" s="1717"/>
      <c r="Q98" s="1717"/>
      <c r="R98" s="1717"/>
      <c r="S98" s="1717"/>
      <c r="T98" s="1717"/>
      <c r="U98" s="1717"/>
      <c r="V98" s="1717"/>
      <c r="W98" s="1717"/>
      <c r="X98" s="1717"/>
      <c r="Y98" s="1717"/>
      <c r="Z98" s="1717"/>
      <c r="AA98" s="1717"/>
      <c r="AB98" s="1717"/>
      <c r="AC98" s="1717"/>
      <c r="AD98" s="1717"/>
      <c r="AE98" s="1717"/>
      <c r="AF98" s="1717"/>
      <c r="AG98" s="1717"/>
      <c r="AH98" s="1717"/>
      <c r="AI98" s="1717"/>
      <c r="AJ98" s="1717"/>
      <c r="AK98" s="1717"/>
      <c r="AL98" s="1717"/>
      <c r="AM98" s="1717"/>
      <c r="AN98" s="1717"/>
      <c r="AO98" s="1717"/>
      <c r="AP98" s="1717"/>
      <c r="AQ98" s="1717"/>
      <c r="AR98" s="1717"/>
      <c r="AS98" s="1717"/>
      <c r="AT98" s="1717"/>
      <c r="AU98" s="20"/>
      <c r="AV98" s="20"/>
      <c r="AW98" s="20"/>
      <c r="AX98" s="20"/>
      <c r="AY98" s="20"/>
      <c r="AZ98" s="20"/>
      <c r="BD98" s="1182" t="s">
        <v>2510</v>
      </c>
      <c r="BE98" s="1183" t="str">
        <f>Application!M265</f>
        <v>mariaolivebranchcd@outlook.com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2511</v>
      </c>
      <c r="BE99" s="1183" t="str">
        <f>Application!M273</f>
        <v>aamensch@gmail.com</v>
      </c>
    </row>
    <row r="100" spans="1:57" ht="12.95" customHeight="1">
      <c r="A100" s="1718" t="s">
        <v>2118</v>
      </c>
      <c r="B100" s="1718"/>
      <c r="C100" s="1718"/>
      <c r="D100" s="1718"/>
      <c r="E100" s="1718"/>
      <c r="F100" s="1718"/>
      <c r="G100" s="1718"/>
      <c r="H100" s="1718"/>
      <c r="I100" s="1718"/>
      <c r="J100" s="1718"/>
      <c r="K100" s="1718"/>
      <c r="L100" s="1718"/>
      <c r="M100" s="1718"/>
      <c r="N100" s="1718"/>
      <c r="O100" s="1718"/>
      <c r="P100" s="1718"/>
      <c r="Q100" s="1718"/>
      <c r="R100" s="1718"/>
      <c r="S100" s="1718"/>
      <c r="T100" s="1718"/>
      <c r="U100" s="1718"/>
      <c r="V100" s="1718"/>
      <c r="W100" s="1718"/>
      <c r="X100" s="1718"/>
      <c r="Y100" s="1718"/>
      <c r="Z100" s="1718"/>
      <c r="AA100" s="1718"/>
      <c r="AB100" s="1718"/>
      <c r="AC100" s="1718"/>
      <c r="AD100" s="1718"/>
      <c r="AE100" s="1718"/>
      <c r="AF100" s="1718"/>
      <c r="AG100" s="1718"/>
      <c r="AH100" s="1718"/>
      <c r="AI100" s="1718"/>
      <c r="AJ100" s="1718"/>
      <c r="AK100" s="1718"/>
      <c r="AL100" s="1718"/>
      <c r="AM100" s="1718"/>
      <c r="AN100" s="1718"/>
      <c r="AO100" s="1718"/>
      <c r="AP100" s="1718"/>
      <c r="AQ100" s="1718"/>
      <c r="AR100" s="1718"/>
      <c r="AS100" s="1718"/>
      <c r="AT100" s="1718"/>
      <c r="AU100" s="20"/>
      <c r="AV100" s="20"/>
      <c r="AW100" s="20"/>
      <c r="AX100" s="20"/>
      <c r="AY100" s="20"/>
      <c r="AZ100" s="20"/>
      <c r="BD100" s="1182" t="s">
        <v>2512</v>
      </c>
      <c r="BE100" s="1183" t="str">
        <f>Application!L288</f>
        <v>William@kingdomdevelopment.net</v>
      </c>
    </row>
    <row r="101" spans="1:57" ht="12.95" customHeight="1">
      <c r="A101" s="1718"/>
      <c r="B101" s="1718"/>
      <c r="C101" s="1718"/>
      <c r="D101" s="1718"/>
      <c r="E101" s="1718"/>
      <c r="F101" s="1718"/>
      <c r="G101" s="1718"/>
      <c r="H101" s="1718"/>
      <c r="I101" s="1718"/>
      <c r="J101" s="1718"/>
      <c r="K101" s="1718"/>
      <c r="L101" s="1718"/>
      <c r="M101" s="1718"/>
      <c r="N101" s="1718"/>
      <c r="O101" s="1718"/>
      <c r="P101" s="1718"/>
      <c r="Q101" s="1718"/>
      <c r="R101" s="1718"/>
      <c r="S101" s="1718"/>
      <c r="T101" s="1718"/>
      <c r="U101" s="1718"/>
      <c r="V101" s="1718"/>
      <c r="W101" s="1718"/>
      <c r="X101" s="1718"/>
      <c r="Y101" s="1718"/>
      <c r="Z101" s="1718"/>
      <c r="AA101" s="1718"/>
      <c r="AB101" s="1718"/>
      <c r="AC101" s="1718"/>
      <c r="AD101" s="1718"/>
      <c r="AE101" s="1718"/>
      <c r="AF101" s="1718"/>
      <c r="AG101" s="1718"/>
      <c r="AH101" s="1718"/>
      <c r="AI101" s="1718"/>
      <c r="AJ101" s="1718"/>
      <c r="AK101" s="1718"/>
      <c r="AL101" s="1718"/>
      <c r="AM101" s="1718"/>
      <c r="AN101" s="1718"/>
      <c r="AO101" s="1718"/>
      <c r="AP101" s="1718"/>
      <c r="AQ101" s="1718"/>
      <c r="AR101" s="1718"/>
      <c r="AS101" s="1718"/>
      <c r="AT101" s="1718"/>
      <c r="AU101" s="20"/>
      <c r="AV101" s="20"/>
      <c r="AW101" s="20"/>
      <c r="AX101" s="20"/>
      <c r="AY101" s="20"/>
      <c r="AZ101" s="20"/>
      <c r="BD101" s="3" t="s">
        <v>2517</v>
      </c>
      <c r="BE101">
        <f>'Sources and Uses Budget'!C105</f>
        <v>62606754</v>
      </c>
    </row>
    <row r="102" spans="1:57" ht="12.95" customHeight="1">
      <c r="A102" s="1718"/>
      <c r="B102" s="1718"/>
      <c r="C102" s="1718"/>
      <c r="D102" s="1718"/>
      <c r="E102" s="1718"/>
      <c r="F102" s="1718"/>
      <c r="G102" s="1718"/>
      <c r="H102" s="1718"/>
      <c r="I102" s="1718"/>
      <c r="J102" s="1718"/>
      <c r="K102" s="1718"/>
      <c r="L102" s="1718"/>
      <c r="M102" s="1718"/>
      <c r="N102" s="1718"/>
      <c r="O102" s="1718"/>
      <c r="P102" s="1718"/>
      <c r="Q102" s="1718"/>
      <c r="R102" s="1718"/>
      <c r="S102" s="1718"/>
      <c r="T102" s="1718"/>
      <c r="U102" s="1718"/>
      <c r="V102" s="1718"/>
      <c r="W102" s="1718"/>
      <c r="X102" s="1718"/>
      <c r="Y102" s="1718"/>
      <c r="Z102" s="1718"/>
      <c r="AA102" s="1718"/>
      <c r="AB102" s="1718"/>
      <c r="AC102" s="1718"/>
      <c r="AD102" s="1718"/>
      <c r="AE102" s="1718"/>
      <c r="AF102" s="1718"/>
      <c r="AG102" s="1718"/>
      <c r="AH102" s="1718"/>
      <c r="AI102" s="1718"/>
      <c r="AJ102" s="1718"/>
      <c r="AK102" s="1718"/>
      <c r="AL102" s="1718"/>
      <c r="AM102" s="1718"/>
      <c r="AN102" s="1718"/>
      <c r="AO102" s="1718"/>
      <c r="AP102" s="1718"/>
      <c r="AQ102" s="1718"/>
      <c r="AR102" s="1718"/>
      <c r="AS102" s="1718"/>
      <c r="AT102" s="1718"/>
      <c r="AU102" s="20"/>
      <c r="AV102" s="20"/>
      <c r="AW102" s="20"/>
      <c r="AX102" s="20"/>
      <c r="AY102" s="20"/>
      <c r="AZ102" s="20"/>
      <c r="BD102" s="3" t="s">
        <v>2518</v>
      </c>
      <c r="BE102" t="b">
        <f>T197="Yes"</f>
        <v>0</v>
      </c>
    </row>
    <row r="103" spans="1:57" ht="12.95" customHeight="1">
      <c r="A103" s="1718"/>
      <c r="B103" s="1718"/>
      <c r="C103" s="1718"/>
      <c r="D103" s="1718"/>
      <c r="E103" s="1718"/>
      <c r="F103" s="1718"/>
      <c r="G103" s="1718"/>
      <c r="H103" s="1718"/>
      <c r="I103" s="1718"/>
      <c r="J103" s="1718"/>
      <c r="K103" s="1718"/>
      <c r="L103" s="1718"/>
      <c r="M103" s="1718"/>
      <c r="N103" s="1718"/>
      <c r="O103" s="1718"/>
      <c r="P103" s="1718"/>
      <c r="Q103" s="1718"/>
      <c r="R103" s="1718"/>
      <c r="S103" s="1718"/>
      <c r="T103" s="1718"/>
      <c r="U103" s="1718"/>
      <c r="V103" s="1718"/>
      <c r="W103" s="1718"/>
      <c r="X103" s="1718"/>
      <c r="Y103" s="1718"/>
      <c r="Z103" s="1718"/>
      <c r="AA103" s="1718"/>
      <c r="AB103" s="1718"/>
      <c r="AC103" s="1718"/>
      <c r="AD103" s="1718"/>
      <c r="AE103" s="1718"/>
      <c r="AF103" s="1718"/>
      <c r="AG103" s="1718"/>
      <c r="AH103" s="1718"/>
      <c r="AI103" s="1718"/>
      <c r="AJ103" s="1718"/>
      <c r="AK103" s="1718"/>
      <c r="AL103" s="1718"/>
      <c r="AM103" s="1718"/>
      <c r="AN103" s="1718"/>
      <c r="AO103" s="1718"/>
      <c r="AP103" s="1718"/>
      <c r="AQ103" s="1718"/>
      <c r="AR103" s="1718"/>
      <c r="AS103" s="1718"/>
      <c r="AT103" s="1718"/>
      <c r="AU103" s="20"/>
      <c r="AV103" s="20"/>
      <c r="AW103" s="20"/>
      <c r="AX103" s="20"/>
      <c r="AY103" s="20"/>
      <c r="BD103" t="s">
        <v>2128</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2529</v>
      </c>
      <c r="BE104" s="1183" t="b">
        <f>T200="Yes"</f>
        <v>0</v>
      </c>
    </row>
    <row r="105" spans="1:57" ht="12.95" customHeight="1">
      <c r="A105" s="1718" t="s">
        <v>2119</v>
      </c>
      <c r="B105" s="1718"/>
      <c r="C105" s="1718"/>
      <c r="D105" s="1718"/>
      <c r="E105" s="1718"/>
      <c r="F105" s="1718"/>
      <c r="G105" s="1718"/>
      <c r="H105" s="1718"/>
      <c r="I105" s="1718"/>
      <c r="J105" s="1718"/>
      <c r="K105" s="1718"/>
      <c r="L105" s="1718"/>
      <c r="M105" s="1718"/>
      <c r="N105" s="1718"/>
      <c r="O105" s="1718"/>
      <c r="P105" s="1718"/>
      <c r="Q105" s="1718"/>
      <c r="R105" s="1718"/>
      <c r="S105" s="1718"/>
      <c r="T105" s="1718"/>
      <c r="U105" s="1718"/>
      <c r="V105" s="1718"/>
      <c r="W105" s="1718"/>
      <c r="X105" s="1718"/>
      <c r="Y105" s="1718"/>
      <c r="Z105" s="1718"/>
      <c r="AA105" s="1718"/>
      <c r="AB105" s="1718"/>
      <c r="AC105" s="1718"/>
      <c r="AD105" s="1718"/>
      <c r="AE105" s="1718"/>
      <c r="AF105" s="1718"/>
      <c r="AG105" s="1718"/>
      <c r="AH105" s="1718"/>
      <c r="AI105" s="1718"/>
      <c r="AJ105" s="1718"/>
      <c r="AK105" s="1718"/>
      <c r="AL105" s="1718"/>
      <c r="AM105" s="1718"/>
      <c r="AN105" s="1718"/>
      <c r="AO105" s="1718"/>
      <c r="AP105" s="1718"/>
      <c r="AQ105" s="1718"/>
      <c r="AR105" s="1718"/>
      <c r="AS105" s="1718"/>
      <c r="AT105" s="1718"/>
      <c r="AU105" s="20"/>
      <c r="AV105" s="20"/>
      <c r="AW105" s="20"/>
      <c r="AX105" s="20"/>
      <c r="AY105" s="20"/>
      <c r="BD105" s="3" t="s">
        <v>2534</v>
      </c>
      <c r="BE105" s="1183" t="b">
        <f>V224="Yes"</f>
        <v>0</v>
      </c>
    </row>
    <row r="106" spans="1:57" ht="12.95" customHeight="1">
      <c r="A106" s="1718"/>
      <c r="B106" s="1718"/>
      <c r="C106" s="1718"/>
      <c r="D106" s="1718"/>
      <c r="E106" s="1718"/>
      <c r="F106" s="1718"/>
      <c r="G106" s="1718"/>
      <c r="H106" s="1718"/>
      <c r="I106" s="1718"/>
      <c r="J106" s="1718"/>
      <c r="K106" s="1718"/>
      <c r="L106" s="1718"/>
      <c r="M106" s="1718"/>
      <c r="N106" s="1718"/>
      <c r="O106" s="1718"/>
      <c r="P106" s="1718"/>
      <c r="Q106" s="1718"/>
      <c r="R106" s="1718"/>
      <c r="S106" s="1718"/>
      <c r="T106" s="1718"/>
      <c r="U106" s="1718"/>
      <c r="V106" s="1718"/>
      <c r="W106" s="1718"/>
      <c r="X106" s="1718"/>
      <c r="Y106" s="1718"/>
      <c r="Z106" s="1718"/>
      <c r="AA106" s="1718"/>
      <c r="AB106" s="1718"/>
      <c r="AC106" s="1718"/>
      <c r="AD106" s="1718"/>
      <c r="AE106" s="1718"/>
      <c r="AF106" s="1718"/>
      <c r="AG106" s="1718"/>
      <c r="AH106" s="1718"/>
      <c r="AI106" s="1718"/>
      <c r="AJ106" s="1718"/>
      <c r="AK106" s="1718"/>
      <c r="AL106" s="1718"/>
      <c r="AM106" s="1718"/>
      <c r="AN106" s="1718"/>
      <c r="AO106" s="1718"/>
      <c r="AP106" s="1718"/>
      <c r="AQ106" s="1718"/>
      <c r="AR106" s="1718"/>
      <c r="AS106" s="1718"/>
      <c r="AT106" s="1718"/>
      <c r="AU106" s="20"/>
      <c r="AV106" s="20"/>
      <c r="AW106" s="20"/>
      <c r="AX106" s="20"/>
      <c r="AY106" s="20"/>
      <c r="BD106" s="3" t="s">
        <v>2535</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2536</v>
      </c>
      <c r="BE107" s="1183" t="b">
        <f t="shared" si="0"/>
        <v>0</v>
      </c>
    </row>
    <row r="108" spans="1:57" ht="12.95" customHeight="1">
      <c r="A108" s="517" t="s">
        <v>2120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2537</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2538</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2539</v>
      </c>
      <c r="BE110" s="1183" t="b">
        <f t="shared" si="0"/>
        <v>1</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14" t="s">
        <v>2769</v>
      </c>
      <c r="H113" s="1714"/>
      <c r="I113" s="3" t="s">
        <v>182</v>
      </c>
      <c r="L113" s="1714" t="s">
        <v>2770</v>
      </c>
      <c r="M113" s="1714"/>
      <c r="N113" s="1714"/>
      <c r="O113" s="1714"/>
      <c r="P113" s="1731" t="s">
        <v>2598</v>
      </c>
      <c r="Q113" s="1731"/>
      <c r="R113" s="1731"/>
      <c r="S113" s="173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27" t="s">
        <v>67</v>
      </c>
      <c r="D115" s="1727"/>
      <c r="E115" s="1727"/>
      <c r="F115" s="1727"/>
      <c r="G115" s="1727"/>
      <c r="H115" s="1727"/>
      <c r="I115" s="1727"/>
      <c r="J115" s="1727"/>
      <c r="K115" s="1727"/>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714"/>
      <c r="Z117" s="1714"/>
      <c r="AA117" s="1714"/>
      <c r="AB117" s="1714"/>
      <c r="AC117" s="1714"/>
      <c r="AD117" s="1714"/>
      <c r="AE117" s="1714"/>
      <c r="AF117" s="1714"/>
      <c r="AG117" s="1714"/>
      <c r="AH117" s="1714"/>
      <c r="AI117" s="1714"/>
      <c r="AJ117" s="1714"/>
      <c r="AK117" s="1714"/>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14" t="s">
        <v>2738</v>
      </c>
      <c r="Z120" s="1714"/>
      <c r="AA120" s="1714"/>
      <c r="AB120" s="1714"/>
      <c r="AC120" s="1714"/>
      <c r="AD120" s="1714"/>
      <c r="AE120" s="1714"/>
      <c r="AF120" s="1714"/>
      <c r="AG120" s="1714"/>
      <c r="AH120" s="1714"/>
      <c r="AI120" s="1714"/>
      <c r="AJ120" s="1714"/>
      <c r="AK120" s="1714"/>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598" t="s">
        <v>468</v>
      </c>
      <c r="CV122" s="1599"/>
      <c r="CW122" s="14"/>
      <c r="CX122" s="14" t="s">
        <v>633</v>
      </c>
      <c r="CY122" s="14"/>
      <c r="CZ122" s="14"/>
      <c r="DA122" s="14"/>
      <c r="DB122" s="14"/>
      <c r="DC122" s="14"/>
      <c r="DD122" s="14"/>
      <c r="DE122" s="14"/>
      <c r="DF122" s="14"/>
      <c r="DG122" s="1595" t="str">
        <f>T189</f>
        <v>Los Angeles</v>
      </c>
      <c r="DH122" s="1596"/>
      <c r="DI122" s="1596"/>
      <c r="DJ122" s="1596"/>
      <c r="DK122" s="1596"/>
      <c r="DL122" s="1596"/>
      <c r="DM122" s="1597"/>
    </row>
    <row r="123" spans="1:117" ht="12.95" customHeight="1">
      <c r="A123" s="3"/>
      <c r="B123" s="3"/>
      <c r="T123" s="3"/>
      <c r="U123" s="3"/>
      <c r="V123" s="3"/>
      <c r="W123" s="3"/>
      <c r="X123" s="3"/>
      <c r="Y123" s="1714" t="s">
        <v>2739</v>
      </c>
      <c r="Z123" s="1714"/>
      <c r="AA123" s="1714"/>
      <c r="AB123" s="1714"/>
      <c r="AC123" s="1714"/>
      <c r="AD123" s="1714"/>
      <c r="AE123" s="1714"/>
      <c r="AF123" s="1714"/>
      <c r="AG123" s="1714"/>
      <c r="AH123" s="1714"/>
      <c r="AI123" s="1714"/>
      <c r="AJ123" s="1714"/>
      <c r="AK123" s="1714"/>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272"/>
      <c r="G150" s="1272"/>
      <c r="H150" s="1272"/>
      <c r="I150" s="1272"/>
      <c r="J150" s="1272"/>
      <c r="K150" s="1272"/>
      <c r="L150" s="1272"/>
      <c r="M150" s="1272"/>
      <c r="N150" s="1272"/>
      <c r="O150" s="1272"/>
      <c r="P150" s="1272"/>
      <c r="Q150" s="1272"/>
      <c r="R150" s="1272"/>
      <c r="S150" s="1272"/>
      <c r="T150" s="1272"/>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2388</v>
      </c>
    </row>
    <row r="152" spans="1:108" ht="12.95" customHeight="1">
      <c r="BM152">
        <v>4</v>
      </c>
      <c r="BN152" s="3" t="s">
        <v>2387</v>
      </c>
    </row>
    <row r="153" spans="1:108" ht="12.95" customHeight="1">
      <c r="D153" t="s">
        <v>644</v>
      </c>
      <c r="O153" s="1423" t="s">
        <v>874</v>
      </c>
      <c r="P153" s="1403"/>
      <c r="Q153" s="1403"/>
      <c r="R153" s="1403"/>
      <c r="S153" s="1403"/>
      <c r="T153" s="1403"/>
      <c r="U153" s="1403"/>
      <c r="V153" s="1403"/>
      <c r="W153" s="1403"/>
      <c r="X153" s="1403"/>
      <c r="Y153" s="1403"/>
      <c r="Z153" s="1403"/>
      <c r="AA153" s="1403"/>
      <c r="AB153" s="1403"/>
      <c r="AC153" s="1403"/>
      <c r="AD153" s="1403"/>
      <c r="AE153" s="1403"/>
      <c r="AF153" s="1403"/>
      <c r="AG153" s="1403"/>
      <c r="AH153" s="1403"/>
      <c r="BM153">
        <v>5</v>
      </c>
      <c r="BN153" s="3" t="s">
        <v>2389</v>
      </c>
      <c r="CR153" s="31" t="s">
        <v>2627</v>
      </c>
      <c r="CS153" s="32"/>
      <c r="CT153" s="32"/>
      <c r="CU153" s="32"/>
      <c r="CV153" s="32"/>
      <c r="CW153" s="32"/>
      <c r="CX153" s="14"/>
      <c r="CY153" s="31" t="s">
        <v>2628</v>
      </c>
      <c r="CZ153" s="14"/>
      <c r="DA153" s="14"/>
      <c r="DB153" s="14"/>
      <c r="DC153" s="14"/>
      <c r="DD153" s="14"/>
    </row>
    <row r="154" spans="1:108" ht="12.95" customHeight="1">
      <c r="D154" s="303" t="s">
        <v>439</v>
      </c>
      <c r="O154" s="1293" t="s">
        <v>2638</v>
      </c>
      <c r="P154" s="1369"/>
      <c r="Q154" s="1369"/>
      <c r="R154" s="1369"/>
      <c r="S154" s="1369"/>
      <c r="T154" s="1369"/>
      <c r="U154" s="1369"/>
      <c r="V154" s="1369"/>
      <c r="W154" s="1369"/>
      <c r="X154" s="1369"/>
      <c r="Y154" s="1369"/>
      <c r="Z154" s="1369"/>
      <c r="AA154" s="1369"/>
      <c r="AB154" s="1369"/>
      <c r="AC154" s="1369"/>
      <c r="AD154" s="1369"/>
      <c r="AE154" s="1369"/>
      <c r="AF154" s="1369"/>
      <c r="AG154" s="1369"/>
      <c r="AH154" s="1369"/>
      <c r="BM154">
        <v>6</v>
      </c>
      <c r="BN154" s="3" t="s">
        <v>2390</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737" t="s">
        <v>2639</v>
      </c>
      <c r="P155" s="1738"/>
      <c r="Q155" s="1738"/>
      <c r="R155" s="1738"/>
      <c r="S155" s="1738"/>
      <c r="T155" s="1738"/>
      <c r="U155" s="1738"/>
      <c r="V155" s="1738"/>
      <c r="W155" s="1738"/>
      <c r="X155" s="1738"/>
      <c r="Y155" s="1738"/>
      <c r="Z155" s="1738"/>
      <c r="AA155" s="1738"/>
      <c r="AB155" s="1738"/>
      <c r="AC155" s="1738"/>
      <c r="AD155" s="1738"/>
      <c r="AE155" s="1738"/>
      <c r="AF155" s="1738"/>
      <c r="AG155" s="1738"/>
      <c r="AH155" s="1738"/>
      <c r="BM155">
        <v>7</v>
      </c>
      <c r="BN155" s="3" t="s">
        <v>590</v>
      </c>
      <c r="CR155" s="31"/>
      <c r="CS155" s="32"/>
      <c r="CT155" s="32"/>
      <c r="CU155" s="32"/>
      <c r="CV155" s="32"/>
      <c r="CW155" s="32"/>
      <c r="CX155" s="14"/>
      <c r="CY155" s="31"/>
      <c r="CZ155" s="14"/>
      <c r="DA155" s="14"/>
      <c r="DB155" s="14"/>
      <c r="DC155" s="14"/>
      <c r="DD155" s="14"/>
    </row>
    <row r="156" spans="1:108" ht="12.95" customHeight="1">
      <c r="D156" t="s">
        <v>313</v>
      </c>
      <c r="O156" s="1377" t="s">
        <v>2640</v>
      </c>
      <c r="P156" s="1377"/>
      <c r="Q156" s="1377"/>
      <c r="R156" s="1377"/>
      <c r="S156" s="1377"/>
      <c r="T156" s="1377"/>
      <c r="U156" s="1377"/>
      <c r="V156" s="1377"/>
      <c r="W156" s="1377"/>
      <c r="X156" s="1377"/>
      <c r="Y156" s="1377"/>
      <c r="Z156" s="1377"/>
      <c r="AA156" s="1377"/>
      <c r="AB156" s="1377"/>
      <c r="AC156" s="1377"/>
      <c r="AD156" s="1377"/>
      <c r="AE156" s="1377"/>
      <c r="AF156" s="1377"/>
      <c r="AG156" s="1377"/>
      <c r="AH156" s="1377"/>
      <c r="BT156" t="s">
        <v>307</v>
      </c>
      <c r="CB156" s="195" t="s">
        <v>2527</v>
      </c>
      <c r="CC156" s="196"/>
      <c r="CD156" s="196"/>
      <c r="CE156" s="196"/>
      <c r="CF156" s="196"/>
      <c r="CG156" s="196"/>
      <c r="CH156" s="196"/>
      <c r="CI156" s="3"/>
      <c r="CJ156" s="195" t="s">
        <v>2525</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23" t="s">
        <v>493</v>
      </c>
      <c r="P157" s="1403"/>
      <c r="Q157" s="1403"/>
      <c r="R157" s="1403"/>
      <c r="S157" s="1403"/>
      <c r="T157" s="1403"/>
      <c r="U157" s="1403"/>
      <c r="V157" s="1403"/>
      <c r="W157" s="1403"/>
      <c r="X157" s="1403"/>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21">
        <v>90017</v>
      </c>
      <c r="P158" s="1721"/>
      <c r="Q158" s="1721"/>
      <c r="R158" s="1721"/>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15">
        <v>2138088596</v>
      </c>
      <c r="P159" s="1715"/>
      <c r="Q159" s="1715"/>
      <c r="R159" s="1715"/>
      <c r="S159" s="1715"/>
      <c r="T159" s="1715"/>
      <c r="V159" s="97" t="s">
        <v>271</v>
      </c>
      <c r="W159" s="1722"/>
      <c r="X159" s="1722"/>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2.95" customHeight="1">
      <c r="D160" t="s">
        <v>317</v>
      </c>
      <c r="O160" s="1715">
        <v>2138088910</v>
      </c>
      <c r="P160" s="1715"/>
      <c r="Q160" s="1715"/>
      <c r="R160" s="1715"/>
      <c r="S160" s="1715"/>
      <c r="T160" s="1715"/>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318</v>
      </c>
      <c r="O161" s="1711" t="s">
        <v>2641</v>
      </c>
      <c r="P161" s="1711"/>
      <c r="Q161" s="1711"/>
      <c r="R161" s="1711"/>
      <c r="S161" s="1711"/>
      <c r="T161" s="1711"/>
      <c r="U161" s="1711"/>
      <c r="V161" s="1711"/>
      <c r="W161" s="1711"/>
      <c r="X161" s="1711"/>
      <c r="Y161" s="1711"/>
      <c r="Z161" s="1711"/>
      <c r="AA161" s="1711"/>
      <c r="AB161" s="1711"/>
      <c r="AC161" s="1711"/>
      <c r="AD161" s="1711"/>
      <c r="AE161" s="1711"/>
      <c r="AF161" s="1711"/>
      <c r="AG161" s="1711"/>
      <c r="AH161" s="1711"/>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728" t="s">
        <v>2169</v>
      </c>
      <c r="E164" s="1728"/>
      <c r="F164" s="1728"/>
      <c r="G164" s="1728"/>
      <c r="H164" s="1728"/>
      <c r="I164" s="1728"/>
      <c r="J164" s="1728"/>
      <c r="K164" s="1728"/>
      <c r="L164" s="1728"/>
      <c r="M164" s="1728"/>
      <c r="N164" s="1728"/>
      <c r="O164" s="1728"/>
      <c r="P164" s="1728"/>
      <c r="Q164" s="1728"/>
      <c r="R164" s="1728"/>
      <c r="S164" s="1728"/>
      <c r="T164" s="1728"/>
      <c r="U164" s="1728"/>
      <c r="V164" s="1728"/>
      <c r="W164" s="1728"/>
      <c r="X164" s="1728"/>
      <c r="Y164" s="1728"/>
      <c r="Z164" s="1728"/>
      <c r="AA164" s="1728"/>
      <c r="AB164" s="1728"/>
      <c r="AC164" s="1728"/>
      <c r="AD164" s="1728"/>
      <c r="AE164" s="1728"/>
      <c r="AF164" s="1728"/>
      <c r="AG164" s="1728"/>
      <c r="AH164" s="1728"/>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278" t="s">
        <v>538</v>
      </c>
      <c r="B169" s="1278"/>
      <c r="C169" s="1278"/>
      <c r="D169" s="1278"/>
      <c r="E169" s="1278"/>
      <c r="F169" s="1278"/>
      <c r="G169" s="1278"/>
      <c r="H169" s="1278"/>
      <c r="I169" s="1278"/>
      <c r="J169" s="1278"/>
      <c r="K169" s="1278"/>
      <c r="L169" s="1278"/>
      <c r="M169" s="1278"/>
      <c r="N169" s="1278"/>
      <c r="O169" s="1278"/>
      <c r="P169" s="1278"/>
      <c r="Q169" s="1278"/>
      <c r="R169" s="1278"/>
      <c r="S169" s="1278"/>
      <c r="T169" s="1278"/>
      <c r="U169" s="1278"/>
      <c r="V169" s="1278"/>
      <c r="W169" s="1278"/>
      <c r="X169" s="1278"/>
      <c r="Y169" s="1278"/>
      <c r="Z169" s="1278"/>
      <c r="AA169" s="1278"/>
      <c r="AB169" s="1278"/>
      <c r="AC169" s="1278"/>
      <c r="AD169" s="1278"/>
      <c r="AE169" s="1278"/>
      <c r="AF169" s="1278"/>
      <c r="AG169" s="1278"/>
      <c r="AH169" s="1278"/>
      <c r="AI169" s="1278"/>
      <c r="AJ169" s="1278"/>
      <c r="AK169" s="1278"/>
      <c r="AL169" s="1278"/>
      <c r="AM169" s="1278"/>
      <c r="AN169" s="1278"/>
      <c r="AO169" s="1278"/>
      <c r="AP169" s="1278"/>
      <c r="AQ169" s="1278"/>
      <c r="AR169" s="1278"/>
      <c r="AS169" s="1278"/>
      <c r="AT169" s="1278"/>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278"/>
      <c r="B170" s="1278"/>
      <c r="C170" s="1278"/>
      <c r="D170" s="1278"/>
      <c r="E170" s="1278"/>
      <c r="F170" s="1278"/>
      <c r="G170" s="1278"/>
      <c r="H170" s="1278"/>
      <c r="I170" s="1278"/>
      <c r="J170" s="1278"/>
      <c r="K170" s="1278"/>
      <c r="L170" s="1278"/>
      <c r="M170" s="1278"/>
      <c r="N170" s="1278"/>
      <c r="O170" s="1278"/>
      <c r="P170" s="1278"/>
      <c r="Q170" s="1278"/>
      <c r="R170" s="1278"/>
      <c r="S170" s="1278"/>
      <c r="T170" s="1278"/>
      <c r="U170" s="1278"/>
      <c r="V170" s="1278"/>
      <c r="W170" s="1278"/>
      <c r="X170" s="1278"/>
      <c r="Y170" s="1278"/>
      <c r="Z170" s="1278"/>
      <c r="AA170" s="1278"/>
      <c r="AB170" s="1278"/>
      <c r="AC170" s="1278"/>
      <c r="AD170" s="1278"/>
      <c r="AE170" s="1278"/>
      <c r="AF170" s="1278"/>
      <c r="AG170" s="1278"/>
      <c r="AH170" s="1278"/>
      <c r="AI170" s="1278"/>
      <c r="AJ170" s="1278"/>
      <c r="AK170" s="1278"/>
      <c r="AL170" s="1278"/>
      <c r="AM170" s="1278"/>
      <c r="AN170" s="1278"/>
      <c r="AO170" s="1278"/>
      <c r="AP170" s="1278"/>
      <c r="AQ170" s="1278"/>
      <c r="AR170" s="1278"/>
      <c r="AS170" s="1278"/>
      <c r="AT170" s="1278"/>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211</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321</v>
      </c>
      <c r="J173" s="1736" t="s">
        <v>371</v>
      </c>
      <c r="K173" s="1736"/>
      <c r="L173" s="1736"/>
      <c r="M173" s="1736"/>
      <c r="N173" s="1736"/>
      <c r="O173" s="1736"/>
      <c r="P173" s="1736"/>
      <c r="Q173" s="1736"/>
      <c r="R173" s="1736"/>
      <c r="S173" s="1736"/>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1201</v>
      </c>
      <c r="J174" s="1377" t="s">
        <v>2055</v>
      </c>
      <c r="K174" s="1377"/>
      <c r="L174" s="1377"/>
      <c r="M174" s="1377"/>
      <c r="N174" s="1377"/>
      <c r="O174" s="1377"/>
      <c r="P174" s="1377"/>
      <c r="Q174" s="1377"/>
      <c r="R174" s="1377"/>
      <c r="S174" s="1377"/>
      <c r="T174" s="1377"/>
      <c r="U174" s="1377"/>
      <c r="V174" s="1377"/>
      <c r="W174" s="1377"/>
      <c r="X174" s="1377"/>
      <c r="Y174" s="1377"/>
      <c r="Z174" s="1377"/>
      <c r="AA174" s="1377"/>
      <c r="AB174" s="1377"/>
      <c r="BB174" t="s">
        <v>1941</v>
      </c>
      <c r="BN174" s="23" t="s">
        <v>216</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269" t="s">
        <v>668</v>
      </c>
      <c r="V175" s="1269"/>
      <c r="BB175" t="s">
        <v>1909</v>
      </c>
      <c r="BN175" s="23" t="s">
        <v>217</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2034</v>
      </c>
      <c r="T176" s="27" t="s">
        <v>305</v>
      </c>
      <c r="U176" s="1436"/>
      <c r="V176" s="1436"/>
      <c r="W176" s="1" t="s">
        <v>306</v>
      </c>
      <c r="X176" s="1744"/>
      <c r="Y176" s="1744"/>
      <c r="BB176" t="s">
        <v>1942</v>
      </c>
      <c r="BN176" s="23" t="s">
        <v>219</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269" t="s">
        <v>668</v>
      </c>
      <c r="S177" s="1269"/>
      <c r="BB177" t="s">
        <v>2166</v>
      </c>
      <c r="BN177" s="23" t="s">
        <v>220</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1202</v>
      </c>
      <c r="AA178" t="s">
        <v>2034</v>
      </c>
      <c r="AE178" s="27" t="s">
        <v>305</v>
      </c>
      <c r="AF178" s="1735"/>
      <c r="AG178" s="1735"/>
      <c r="AH178" s="1" t="s">
        <v>306</v>
      </c>
      <c r="AI178" s="1699"/>
      <c r="AJ178" s="1699"/>
      <c r="AK178" s="1699"/>
      <c r="BB178" t="s">
        <v>2167</v>
      </c>
      <c r="BN178" s="23" t="s">
        <v>221</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2623</v>
      </c>
      <c r="X180" s="1269" t="s">
        <v>668</v>
      </c>
      <c r="Y180" s="1269"/>
      <c r="BN180" s="23" t="s">
        <v>224</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577</v>
      </c>
      <c r="I184" s="1376" t="str">
        <f>H18</f>
        <v>Borden Village</v>
      </c>
      <c r="J184" s="1376"/>
      <c r="K184" s="1376"/>
      <c r="L184" s="1376"/>
      <c r="M184" s="1376"/>
      <c r="N184" s="1376"/>
      <c r="O184" s="1376"/>
      <c r="P184" s="1376"/>
      <c r="Q184" s="1376"/>
      <c r="R184" s="1376"/>
      <c r="S184" s="1376"/>
      <c r="T184" s="1376"/>
      <c r="U184" s="1376"/>
      <c r="V184" s="1376"/>
      <c r="W184" s="1376"/>
      <c r="X184" s="1376"/>
      <c r="Y184" s="1376"/>
      <c r="Z184" s="1376"/>
      <c r="AA184" s="1376"/>
      <c r="AB184" s="1376"/>
      <c r="AC184" s="1376"/>
      <c r="AD184" s="1376"/>
      <c r="AE184" s="1376"/>
      <c r="BC184" t="s">
        <v>586</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578</v>
      </c>
      <c r="I185" s="1404" t="s">
        <v>2642</v>
      </c>
      <c r="J185" s="1404"/>
      <c r="K185" s="1404"/>
      <c r="L185" s="1404"/>
      <c r="M185" s="1404"/>
      <c r="N185" s="1404"/>
      <c r="O185" s="1404"/>
      <c r="P185" s="1404"/>
      <c r="Q185" s="1404"/>
      <c r="R185" s="1404"/>
      <c r="S185" s="1404"/>
      <c r="T185" s="1404"/>
      <c r="U185" s="1404"/>
      <c r="V185" s="1404"/>
      <c r="W185" s="1404"/>
      <c r="X185" s="1404"/>
      <c r="Y185" s="1404"/>
      <c r="Z185" s="1404"/>
      <c r="AA185" s="1404"/>
      <c r="AB185" s="1404"/>
      <c r="AC185" s="1404"/>
      <c r="AD185" s="1404"/>
      <c r="AE185" s="1404"/>
      <c r="BC185" t="s">
        <v>587</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739"/>
      <c r="F187" s="1739"/>
      <c r="G187" s="1739"/>
      <c r="H187" s="1739"/>
      <c r="I187" s="1739"/>
      <c r="J187" s="1739"/>
      <c r="K187" s="1739"/>
      <c r="L187" s="1739"/>
      <c r="M187" s="1739"/>
      <c r="N187" s="1739"/>
      <c r="O187" s="1739"/>
      <c r="P187" s="1739"/>
      <c r="Q187" s="1739"/>
      <c r="R187" s="1739"/>
      <c r="S187" s="1739"/>
      <c r="T187" s="1739"/>
      <c r="U187" s="1739"/>
      <c r="V187" s="1739"/>
      <c r="W187" s="1739"/>
      <c r="X187" s="1739"/>
      <c r="Y187" s="1739"/>
      <c r="Z187" s="1739"/>
      <c r="AA187" s="1739"/>
      <c r="AB187" s="1739"/>
      <c r="AC187" s="1739"/>
      <c r="AD187" s="1739"/>
      <c r="AE187" s="1739"/>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740"/>
      <c r="F188" s="1740"/>
      <c r="G188" s="1740"/>
      <c r="H188" s="1740"/>
      <c r="I188" s="1740"/>
      <c r="J188" s="1740"/>
      <c r="K188" s="1740"/>
      <c r="L188" s="1740"/>
      <c r="M188" s="1740"/>
      <c r="N188" s="1740"/>
      <c r="O188" s="1740"/>
      <c r="P188" s="1740"/>
      <c r="Q188" s="1740"/>
      <c r="R188" s="1740"/>
      <c r="S188" s="1740"/>
      <c r="T188" s="1740"/>
      <c r="U188" s="1740"/>
      <c r="V188" s="1740"/>
      <c r="W188" s="1740"/>
      <c r="X188" s="1740"/>
      <c r="Y188" s="1740"/>
      <c r="Z188" s="1740"/>
      <c r="AA188" s="1740"/>
      <c r="AB188" s="1740"/>
      <c r="AC188" s="1740"/>
      <c r="AD188" s="1740"/>
      <c r="AE188" s="1740"/>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579</v>
      </c>
      <c r="I189" s="1423" t="s">
        <v>493</v>
      </c>
      <c r="J189" s="1377"/>
      <c r="K189" s="1377"/>
      <c r="L189" s="1377"/>
      <c r="M189" s="1377"/>
      <c r="N189" s="1377"/>
      <c r="O189" s="1377"/>
      <c r="P189" s="1377"/>
      <c r="Q189" t="s">
        <v>581</v>
      </c>
      <c r="T189" s="1377" t="s">
        <v>493</v>
      </c>
      <c r="U189" s="1377"/>
      <c r="V189" s="1377"/>
      <c r="W189" s="1377"/>
      <c r="X189" s="1377"/>
      <c r="Y189" s="1377"/>
      <c r="Z189" s="1377"/>
      <c r="AA189" s="1377"/>
      <c r="AB189" s="1377"/>
      <c r="AC189" s="1377"/>
      <c r="AD189" s="1377"/>
      <c r="AE189" s="1377"/>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582</v>
      </c>
      <c r="I190" s="1404">
        <v>91331</v>
      </c>
      <c r="J190" s="1404"/>
      <c r="K190" s="1404"/>
      <c r="L190" s="1404"/>
      <c r="M190" s="1404"/>
      <c r="N190" s="1404"/>
      <c r="O190" t="s">
        <v>584</v>
      </c>
      <c r="T190" s="1719">
        <v>6037104108</v>
      </c>
      <c r="U190" s="1719"/>
      <c r="V190" s="1719"/>
      <c r="W190" s="1719"/>
      <c r="X190" s="1719"/>
      <c r="Y190" s="1719"/>
      <c r="Z190" s="1719"/>
      <c r="AA190" s="1719"/>
      <c r="AB190" s="1719"/>
      <c r="AC190" s="1719"/>
      <c r="AD190" s="1719"/>
      <c r="AE190" s="1719"/>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461</v>
      </c>
      <c r="N191" s="1691" t="s">
        <v>2740</v>
      </c>
      <c r="O191" s="1739"/>
      <c r="P191" s="1739"/>
      <c r="Q191" s="1739"/>
      <c r="R191" s="1739"/>
      <c r="S191" s="1739"/>
      <c r="T191" s="1739"/>
      <c r="U191" s="1739"/>
      <c r="V191" s="1739"/>
      <c r="W191" s="1739"/>
      <c r="X191" s="1739"/>
      <c r="Y191" s="1739"/>
      <c r="Z191" s="1739"/>
      <c r="AA191" s="1739"/>
      <c r="AB191" s="1739"/>
      <c r="AC191" s="1739"/>
      <c r="AD191" s="1739"/>
      <c r="AE191" s="1739"/>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740"/>
      <c r="O192" s="1740"/>
      <c r="P192" s="1740"/>
      <c r="Q192" s="1740"/>
      <c r="R192" s="1740"/>
      <c r="S192" s="1740"/>
      <c r="T192" s="1740"/>
      <c r="U192" s="1740"/>
      <c r="V192" s="1740"/>
      <c r="W192" s="1740"/>
      <c r="X192" s="1740"/>
      <c r="Y192" s="1740"/>
      <c r="Z192" s="1740"/>
      <c r="AA192" s="1740"/>
      <c r="AB192" s="1740"/>
      <c r="AC192" s="1740"/>
      <c r="AD192" s="1740"/>
      <c r="AE192" s="1740"/>
      <c r="BC192" t="s">
        <v>1042</v>
      </c>
      <c r="BH192" s="3" t="s">
        <v>1357</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2035</v>
      </c>
      <c r="M193" s="40"/>
      <c r="N193" s="890"/>
      <c r="O193" s="890"/>
      <c r="P193" s="890"/>
      <c r="Q193" s="890"/>
      <c r="R193" s="890"/>
      <c r="S193" s="890"/>
      <c r="T193" s="1723" t="s">
        <v>2166</v>
      </c>
      <c r="U193" s="1723"/>
      <c r="V193" s="1723"/>
      <c r="W193" s="1723"/>
      <c r="X193" s="1723"/>
      <c r="Y193" s="1723"/>
      <c r="Z193" s="1723"/>
      <c r="AA193" s="1723"/>
      <c r="AB193" s="1723"/>
      <c r="AC193" s="1723"/>
      <c r="AD193" s="1723"/>
      <c r="AE193" s="1723"/>
      <c r="AF193" s="1723"/>
      <c r="AG193" s="1723"/>
      <c r="AH193" s="1723"/>
      <c r="AI193" s="1723"/>
      <c r="BC193" t="s">
        <v>1041</v>
      </c>
      <c r="BH193" s="3" t="s">
        <v>1617</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2168</v>
      </c>
      <c r="M194" s="40"/>
      <c r="N194" s="890"/>
      <c r="O194" s="890"/>
      <c r="P194" s="890"/>
      <c r="Q194" s="890"/>
      <c r="R194" s="890"/>
      <c r="S194" s="890"/>
      <c r="AH194" s="1269" t="s">
        <v>668</v>
      </c>
      <c r="AI194" s="1269"/>
      <c r="BC194" t="s">
        <v>1357</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331</v>
      </c>
      <c r="T195" s="1269" t="s">
        <v>668</v>
      </c>
      <c r="U195" s="1269"/>
      <c r="W195" t="s">
        <v>683</v>
      </c>
      <c r="AH195" s="1269">
        <v>29</v>
      </c>
      <c r="AI195" s="1269"/>
      <c r="BC195" t="s">
        <v>1830</v>
      </c>
      <c r="BN195" s="23" t="s">
        <v>242</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386</v>
      </c>
      <c r="T196" s="1325" t="s">
        <v>544</v>
      </c>
      <c r="U196" s="1325"/>
      <c r="W196" t="s">
        <v>684</v>
      </c>
      <c r="AH196" s="1269">
        <v>43</v>
      </c>
      <c r="AI196" s="1269"/>
      <c r="BN196" s="23" t="s">
        <v>243</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169</v>
      </c>
      <c r="T197" s="1325" t="s">
        <v>668</v>
      </c>
      <c r="U197" s="1325"/>
      <c r="W197" t="s">
        <v>685</v>
      </c>
      <c r="AH197" s="1269">
        <v>20</v>
      </c>
      <c r="AI197" s="1269"/>
      <c r="BC197" t="s">
        <v>307</v>
      </c>
      <c r="BN197" s="23" t="s">
        <v>244</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1640</v>
      </c>
      <c r="E198"/>
      <c r="F198"/>
      <c r="G198"/>
      <c r="H198"/>
      <c r="I198"/>
      <c r="J198"/>
      <c r="K198"/>
      <c r="L198"/>
      <c r="M198"/>
      <c r="N198"/>
      <c r="O198"/>
      <c r="P198"/>
      <c r="Q198"/>
      <c r="R198"/>
      <c r="S198"/>
      <c r="T198" s="1696">
        <v>0</v>
      </c>
      <c r="U198" s="1325"/>
      <c r="V198"/>
      <c r="X198" s="1393" t="s">
        <v>2436</v>
      </c>
      <c r="Y198" s="1393"/>
      <c r="Z198" s="1393"/>
      <c r="AA198" s="1393"/>
      <c r="AB198" s="1393"/>
      <c r="AC198" s="1393"/>
      <c r="AD198" s="1393"/>
      <c r="AE198" s="1393"/>
      <c r="AF198" s="1393"/>
      <c r="AG198" s="1393"/>
      <c r="AH198" s="1393"/>
      <c r="AI198" s="1393"/>
      <c r="AJ198" s="1393"/>
      <c r="AK198" s="1393"/>
      <c r="AL198" s="1393"/>
      <c r="AM198" s="1393"/>
      <c r="AN198" s="1393"/>
      <c r="AO198" s="1393"/>
      <c r="AP198" s="1393"/>
      <c r="AQ198" s="1393"/>
      <c r="AR198" s="1393"/>
      <c r="AS198" s="1393"/>
      <c r="AT198" s="1393"/>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2439</v>
      </c>
      <c r="E199"/>
      <c r="F199"/>
      <c r="G199"/>
      <c r="H199"/>
      <c r="I199"/>
      <c r="J199"/>
      <c r="K199"/>
      <c r="L199"/>
      <c r="M199"/>
      <c r="N199"/>
      <c r="O199"/>
      <c r="P199"/>
      <c r="Q199"/>
      <c r="R199"/>
      <c r="S199"/>
      <c r="T199" s="1269" t="s">
        <v>668</v>
      </c>
      <c r="U199" s="1269"/>
      <c r="V199"/>
      <c r="W199"/>
      <c r="X199" s="1393"/>
      <c r="Y199" s="1393"/>
      <c r="Z199" s="1393"/>
      <c r="AA199" s="1393"/>
      <c r="AB199" s="1393"/>
      <c r="AC199" s="1393"/>
      <c r="AD199" s="1393"/>
      <c r="AE199" s="1393"/>
      <c r="AF199" s="1393"/>
      <c r="AG199" s="1393"/>
      <c r="AH199" s="1393"/>
      <c r="AI199" s="1393"/>
      <c r="AJ199" s="1393"/>
      <c r="AK199" s="1393"/>
      <c r="AL199" s="1393"/>
      <c r="AM199" s="1393"/>
      <c r="AN199" s="1393"/>
      <c r="AO199" s="1393"/>
      <c r="AP199" s="1393"/>
      <c r="AQ199" s="1393"/>
      <c r="AR199" s="1393"/>
      <c r="AS199" s="1393"/>
      <c r="AT199" s="1393"/>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2437</v>
      </c>
      <c r="T200" s="1269" t="s">
        <v>668</v>
      </c>
      <c r="U200" s="1269"/>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2438</v>
      </c>
      <c r="V201"/>
      <c r="X201"/>
      <c r="Y201"/>
      <c r="Z201"/>
      <c r="AB201" s="1184"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376" t="s">
        <v>385</v>
      </c>
      <c r="E204" s="1376"/>
      <c r="F204" s="1376"/>
      <c r="G204" s="1376"/>
      <c r="H204" s="1376"/>
      <c r="I204" s="1376"/>
      <c r="J204" s="1376"/>
      <c r="K204" s="1376"/>
      <c r="L204" s="1376"/>
      <c r="M204" s="1376"/>
      <c r="P204" s="1729">
        <f>M26</f>
        <v>2720254</v>
      </c>
      <c r="Q204" s="1730"/>
      <c r="R204" s="1730"/>
      <c r="S204" s="1730"/>
      <c r="T204" s="1730"/>
      <c r="U204" s="1730"/>
      <c r="BC204" t="s">
        <v>1062</v>
      </c>
      <c r="BN204" s="23" t="s">
        <v>702</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734" t="s">
        <v>1246</v>
      </c>
      <c r="E205" s="1376"/>
      <c r="F205" s="1376"/>
      <c r="G205" s="1376"/>
      <c r="H205" s="1376"/>
      <c r="I205" s="1376"/>
      <c r="J205" s="1376"/>
      <c r="K205" s="1376"/>
      <c r="L205" s="1376"/>
      <c r="M205" s="1376"/>
      <c r="P205" s="1730">
        <f>M27</f>
        <v>0</v>
      </c>
      <c r="Q205" s="1730"/>
      <c r="R205" s="1730"/>
      <c r="S205" s="1730"/>
      <c r="T205" s="1730"/>
      <c r="U205" s="1730"/>
      <c r="V205" s="28"/>
      <c r="W205" s="3" t="s">
        <v>1708</v>
      </c>
      <c r="Z205" s="1732" t="s">
        <v>1183</v>
      </c>
      <c r="AA205" s="1732"/>
      <c r="AB205" s="1732"/>
      <c r="AC205" s="1732"/>
      <c r="AD205" s="1732"/>
      <c r="AE205" s="1732"/>
      <c r="AF205" s="1732"/>
      <c r="AG205" s="1732"/>
      <c r="AH205" s="1732"/>
      <c r="AI205" s="1732"/>
      <c r="AJ205" s="1732"/>
      <c r="AK205" s="1732"/>
      <c r="AL205" s="1732"/>
      <c r="AM205" s="1732"/>
      <c r="AN205" s="1732"/>
      <c r="AP205" s="1272"/>
      <c r="AQ205" s="1272"/>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1063</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403" t="s">
        <v>2674</v>
      </c>
      <c r="E208" s="1403"/>
      <c r="F208" s="1403"/>
      <c r="G208" s="1403"/>
      <c r="H208" s="1403"/>
      <c r="I208" s="1403"/>
      <c r="J208" s="1403"/>
      <c r="K208" s="1403"/>
      <c r="L208" s="1403"/>
      <c r="M208" s="1403"/>
      <c r="BC208" s="3" t="s">
        <v>2159</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388</v>
      </c>
      <c r="BC210" t="s">
        <v>658</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03" t="s">
        <v>1830</v>
      </c>
      <c r="E211" s="1403"/>
      <c r="F211" s="1403"/>
      <c r="G211" s="1403"/>
      <c r="H211" s="1403"/>
      <c r="I211" s="1403"/>
      <c r="J211" s="1403"/>
      <c r="K211" s="1403"/>
      <c r="L211" s="1403"/>
      <c r="M211" s="1403"/>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2183</v>
      </c>
      <c r="Q212" s="1269">
        <v>0</v>
      </c>
      <c r="R212" s="1269"/>
      <c r="T212" s="1742">
        <f>IFERROR(Q212/AG449,0)</f>
        <v>0</v>
      </c>
      <c r="U212" s="1743"/>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2396</v>
      </c>
      <c r="BC213" t="s">
        <v>525</v>
      </c>
      <c r="BI213" s="3" t="s">
        <v>2180</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724" t="s">
        <v>590</v>
      </c>
      <c r="E214" s="1724"/>
      <c r="F214" s="1724"/>
      <c r="G214" s="1724"/>
      <c r="H214" s="1724"/>
      <c r="I214" s="1724"/>
      <c r="J214" s="1724"/>
      <c r="K214" s="1724"/>
      <c r="L214" s="1724"/>
      <c r="M214" s="1724"/>
      <c r="N214" s="1724"/>
      <c r="O214" s="1724"/>
      <c r="P214" s="1724"/>
      <c r="Q214" s="1724"/>
      <c r="R214" s="1724"/>
      <c r="S214" s="1724"/>
      <c r="T214" s="1724"/>
      <c r="U214" s="1724"/>
      <c r="V214" s="1724"/>
      <c r="W214" s="1724"/>
      <c r="X214" s="1724"/>
      <c r="Y214" s="1724"/>
      <c r="Z214" s="1724"/>
      <c r="AU214" s="21"/>
      <c r="AV214" s="21"/>
      <c r="AW214" s="21"/>
      <c r="AX214" s="21"/>
      <c r="AY214" s="21"/>
      <c r="BC214" t="s">
        <v>529</v>
      </c>
      <c r="BI214" s="3" t="s">
        <v>2173</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1641</v>
      </c>
      <c r="Z215" s="40"/>
      <c r="AB215" s="1682"/>
      <c r="AC215" s="1682"/>
      <c r="AD215" s="1682"/>
      <c r="AE215" s="1682"/>
      <c r="AF215" s="1682"/>
      <c r="AG215" s="1682"/>
      <c r="AH215" s="1682"/>
      <c r="AI215" s="1682"/>
      <c r="AJ215" s="1682"/>
      <c r="AK215" s="1682"/>
      <c r="AL215" s="1682"/>
      <c r="AM215" s="21"/>
      <c r="AN215" s="21"/>
      <c r="AO215" s="21"/>
      <c r="AP215" s="21"/>
      <c r="AQ215" s="21"/>
      <c r="AR215" s="21"/>
      <c r="AS215" s="21"/>
      <c r="AT215" s="21"/>
      <c r="AU215" s="21"/>
      <c r="AV215" s="21"/>
      <c r="AW215" s="21"/>
      <c r="AX215" s="21"/>
      <c r="AY215" s="21"/>
      <c r="BC215" t="s">
        <v>526</v>
      </c>
      <c r="BI215" s="3" t="s">
        <v>2174</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1639</v>
      </c>
      <c r="Z216" s="40"/>
      <c r="AB216" s="1682"/>
      <c r="AC216" s="1682"/>
      <c r="AD216" s="1682"/>
      <c r="AE216" s="1682"/>
      <c r="AF216" s="1682"/>
      <c r="AG216" s="1682"/>
      <c r="AH216" s="1682"/>
      <c r="AI216" s="1682"/>
      <c r="AJ216" s="1682"/>
      <c r="AK216" s="1682"/>
      <c r="AL216" s="1682"/>
      <c r="AM216" s="21"/>
      <c r="AN216" s="21"/>
      <c r="AO216" s="21"/>
      <c r="AP216" s="21"/>
      <c r="AQ216" s="21"/>
      <c r="AR216" s="21"/>
      <c r="AS216" s="21"/>
      <c r="AT216" s="21"/>
      <c r="AU216" s="21"/>
      <c r="AV216" s="21"/>
      <c r="AW216" s="21"/>
      <c r="AX216" s="21"/>
      <c r="AY216" s="21"/>
      <c r="BC216" t="s">
        <v>565</v>
      </c>
      <c r="BI216" t="s">
        <v>2172</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2176</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591</v>
      </c>
      <c r="C218" s="2" t="s">
        <v>2186</v>
      </c>
      <c r="D218" s="28"/>
      <c r="AC218" s="2" t="s">
        <v>2385</v>
      </c>
      <c r="BC218" t="s">
        <v>528</v>
      </c>
    </row>
    <row r="219" spans="1:108" ht="12.95" customHeight="1">
      <c r="A219" s="2"/>
      <c r="C219" s="2"/>
      <c r="D219" s="3" t="s">
        <v>2386</v>
      </c>
      <c r="AZ219" s="3"/>
      <c r="BA219" s="3"/>
      <c r="BC219" t="s">
        <v>377</v>
      </c>
    </row>
    <row r="220" spans="1:108" ht="12.95" customHeight="1">
      <c r="A220" s="2"/>
      <c r="C220" s="2"/>
      <c r="D220" s="1403" t="s">
        <v>874</v>
      </c>
      <c r="E220" s="1403"/>
      <c r="F220" s="1403"/>
      <c r="G220" s="1403"/>
      <c r="H220" s="1403"/>
      <c r="I220" s="1403"/>
      <c r="J220" s="1403"/>
      <c r="K220" s="1403"/>
      <c r="L220" s="1403"/>
      <c r="M220" s="1403"/>
      <c r="N220" s="1403"/>
      <c r="O220" s="1403"/>
      <c r="P220" s="1403"/>
      <c r="Q220" s="1403"/>
      <c r="R220" s="1403"/>
      <c r="S220" s="1403"/>
      <c r="T220" s="1403"/>
      <c r="U220" s="1403"/>
      <c r="V220" s="1403"/>
      <c r="W220" s="1403"/>
      <c r="X220" s="1403"/>
      <c r="Y220" s="1403"/>
      <c r="Z220" s="1403"/>
      <c r="AC220" s="1733" t="s">
        <v>874</v>
      </c>
      <c r="AD220" s="1733"/>
      <c r="AE220" s="1733"/>
      <c r="AF220" s="1733"/>
      <c r="AG220" s="1733"/>
      <c r="AH220" s="1733"/>
      <c r="AI220" s="1733"/>
      <c r="AJ220" s="1733"/>
      <c r="AK220" s="1733"/>
      <c r="AL220" s="1733"/>
      <c r="AM220" s="1733"/>
      <c r="AN220" s="1733"/>
      <c r="AO220" s="1733"/>
      <c r="AP220" s="1733"/>
      <c r="AQ220" s="1733"/>
      <c r="BA220" s="3"/>
      <c r="BC220" t="s">
        <v>300</v>
      </c>
    </row>
    <row r="221" spans="1:108" ht="12.95" customHeight="1">
      <c r="A221" s="2"/>
      <c r="B221" s="14"/>
      <c r="C221" s="2"/>
      <c r="BA221" s="3"/>
    </row>
    <row r="222" spans="1:108" ht="12.95" customHeight="1">
      <c r="A222" s="2" t="s">
        <v>2531</v>
      </c>
      <c r="B222" s="14"/>
      <c r="C222" s="2" t="s">
        <v>2532</v>
      </c>
      <c r="BA222" s="3"/>
    </row>
    <row r="223" spans="1:108" ht="12.95" customHeight="1">
      <c r="A223" s="2"/>
      <c r="B223" s="14"/>
      <c r="C223" s="2"/>
      <c r="D223" s="3" t="s">
        <v>2533</v>
      </c>
      <c r="BA223" s="3"/>
    </row>
    <row r="224" spans="1:108" ht="12.95" customHeight="1">
      <c r="A224" s="2"/>
      <c r="B224" s="14"/>
      <c r="C224" s="2"/>
      <c r="E224" s="3" t="s">
        <v>2534</v>
      </c>
      <c r="V224" s="1269" t="s">
        <v>668</v>
      </c>
      <c r="W224" s="1269"/>
      <c r="Y224" s="1193"/>
      <c r="BA224" s="3"/>
    </row>
    <row r="225" spans="1:69" ht="12.95" customHeight="1">
      <c r="A225" s="2"/>
      <c r="B225" s="14"/>
      <c r="C225" s="2"/>
      <c r="E225" s="3" t="s">
        <v>2535</v>
      </c>
      <c r="V225" s="1269" t="s">
        <v>668</v>
      </c>
      <c r="W225" s="126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2536</v>
      </c>
      <c r="V226" s="1325" t="s">
        <v>668</v>
      </c>
      <c r="W226" s="1325"/>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2537</v>
      </c>
      <c r="V227" s="1325" t="s">
        <v>668</v>
      </c>
      <c r="W227" s="1325"/>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2538</v>
      </c>
      <c r="V228" s="1325" t="s">
        <v>668</v>
      </c>
      <c r="W228" s="1325"/>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2539</v>
      </c>
      <c r="V229" s="1325" t="s">
        <v>544</v>
      </c>
      <c r="W229" s="1325"/>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278" t="s">
        <v>539</v>
      </c>
      <c r="B231" s="1278"/>
      <c r="C231" s="1278"/>
      <c r="D231" s="1278"/>
      <c r="E231" s="1278"/>
      <c r="F231" s="1278"/>
      <c r="G231" s="1278"/>
      <c r="H231" s="1278"/>
      <c r="I231" s="1278"/>
      <c r="J231" s="1278"/>
      <c r="K231" s="1278"/>
      <c r="L231" s="1278"/>
      <c r="M231" s="1278"/>
      <c r="N231" s="1278"/>
      <c r="O231" s="1278"/>
      <c r="P231" s="1278"/>
      <c r="Q231" s="1278"/>
      <c r="R231" s="1278"/>
      <c r="S231" s="1278"/>
      <c r="T231" s="1278"/>
      <c r="U231" s="1278"/>
      <c r="V231" s="1278"/>
      <c r="W231" s="1278"/>
      <c r="X231" s="1278"/>
      <c r="Y231" s="1278"/>
      <c r="Z231" s="1278"/>
      <c r="AA231" s="1278"/>
      <c r="AB231" s="1278"/>
      <c r="AC231" s="1278"/>
      <c r="AD231" s="1278"/>
      <c r="AE231" s="1278"/>
      <c r="AF231" s="1278"/>
      <c r="AG231" s="1278"/>
      <c r="AH231" s="1278"/>
      <c r="AI231" s="1278"/>
      <c r="AJ231" s="1278"/>
      <c r="AK231" s="1278"/>
      <c r="AL231" s="1278"/>
      <c r="AM231" s="1278"/>
      <c r="AN231" s="1278"/>
      <c r="AO231" s="1278"/>
      <c r="AP231" s="1278"/>
      <c r="AQ231" s="1278"/>
      <c r="AR231" s="1278"/>
      <c r="AS231" s="1278"/>
      <c r="AT231" s="1278"/>
      <c r="AU231" s="95"/>
      <c r="AV231" s="95"/>
      <c r="AW231" s="95"/>
      <c r="AX231" s="95"/>
      <c r="AY231" s="95"/>
      <c r="AZ231" s="3"/>
      <c r="BA231" s="3"/>
      <c r="BP231" s="34"/>
    </row>
    <row r="232" spans="1:69" ht="12.95" customHeight="1">
      <c r="A232" s="1278"/>
      <c r="B232" s="1278"/>
      <c r="C232" s="1278"/>
      <c r="D232" s="1278"/>
      <c r="E232" s="1278"/>
      <c r="F232" s="1278"/>
      <c r="G232" s="1278"/>
      <c r="H232" s="1278"/>
      <c r="I232" s="1278"/>
      <c r="J232" s="1278"/>
      <c r="K232" s="1278"/>
      <c r="L232" s="1278"/>
      <c r="M232" s="1278"/>
      <c r="N232" s="1278"/>
      <c r="O232" s="1278"/>
      <c r="P232" s="1278"/>
      <c r="Q232" s="1278"/>
      <c r="R232" s="1278"/>
      <c r="S232" s="1278"/>
      <c r="T232" s="1278"/>
      <c r="U232" s="1278"/>
      <c r="V232" s="1278"/>
      <c r="W232" s="1278"/>
      <c r="X232" s="1278"/>
      <c r="Y232" s="1278"/>
      <c r="Z232" s="1278"/>
      <c r="AA232" s="1278"/>
      <c r="AB232" s="1278"/>
      <c r="AC232" s="1278"/>
      <c r="AD232" s="1278"/>
      <c r="AE232" s="1278"/>
      <c r="AF232" s="1278"/>
      <c r="AG232" s="1278"/>
      <c r="AH232" s="1278"/>
      <c r="AI232" s="1278"/>
      <c r="AJ232" s="1278"/>
      <c r="AK232" s="1278"/>
      <c r="AL232" s="1278"/>
      <c r="AM232" s="1278"/>
      <c r="AN232" s="1278"/>
      <c r="AO232" s="1278"/>
      <c r="AP232" s="1278"/>
      <c r="AQ232" s="1278"/>
      <c r="AR232" s="1278"/>
      <c r="AS232" s="1278"/>
      <c r="AT232" s="1278"/>
      <c r="BA232" s="3"/>
      <c r="BB232" s="3"/>
      <c r="BQ232" s="34"/>
    </row>
    <row r="233" spans="1:69" ht="12.95" customHeight="1">
      <c r="AZ233" s="4"/>
      <c r="BA233" s="3"/>
      <c r="BB233" s="3"/>
      <c r="BQ233" s="34"/>
    </row>
    <row r="234" spans="1:69" ht="12.95" customHeight="1">
      <c r="A234" s="2" t="s">
        <v>319</v>
      </c>
      <c r="B234" s="2"/>
      <c r="C234" s="2" t="s">
        <v>2036</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269" t="s">
        <v>590</v>
      </c>
      <c r="AJ235" s="1269"/>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269" t="s">
        <v>544</v>
      </c>
      <c r="AJ236" s="1269"/>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269" t="s">
        <v>590</v>
      </c>
      <c r="AJ237" s="1269"/>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269" t="s">
        <v>590</v>
      </c>
      <c r="AJ238" s="1269"/>
      <c r="AL238" s="3"/>
      <c r="AM238" s="3"/>
      <c r="AN238" s="3"/>
      <c r="AO238" s="3"/>
      <c r="AP238" s="3"/>
      <c r="AQ238" s="3"/>
      <c r="AR238" s="3"/>
      <c r="AS238" s="3"/>
      <c r="AT238" s="3"/>
      <c r="AU238" s="3"/>
      <c r="AV238" s="3"/>
      <c r="AW238" s="3"/>
      <c r="AX238" s="3"/>
      <c r="AY238" s="3"/>
      <c r="BA238" s="3"/>
      <c r="BB238" s="204" t="s">
        <v>537</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2037</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720" t="str">
        <f>H16</f>
        <v>Olive Branch Community Development Inc.</v>
      </c>
      <c r="N241" s="1720"/>
      <c r="O241" s="1720"/>
      <c r="P241" s="1720"/>
      <c r="Q241" s="1720"/>
      <c r="R241" s="1720"/>
      <c r="S241" s="1720"/>
      <c r="T241" s="1720"/>
      <c r="U241" s="1720"/>
      <c r="V241" s="1720"/>
      <c r="W241" s="1720"/>
      <c r="X241" s="1720"/>
      <c r="Y241" s="1720"/>
      <c r="Z241" s="1720"/>
      <c r="AA241" s="1720"/>
      <c r="AB241" s="1720"/>
      <c r="AC241" s="1720"/>
      <c r="AD241" s="1720"/>
      <c r="AE241" s="1720"/>
      <c r="AF241" s="1720"/>
      <c r="AG241" s="1720"/>
      <c r="AH241" s="1720"/>
      <c r="AI241" s="1720"/>
      <c r="AJ241" s="1720"/>
      <c r="AK241" s="1720"/>
      <c r="AZ241" s="4"/>
      <c r="BA241" s="3"/>
      <c r="BB241" s="205" t="s">
        <v>537</v>
      </c>
      <c r="BG241" s="241">
        <f>IF(AND(AND($M$258="nonprofit",$M$266="nonprofit",$M$274="for profit")),2,0)</f>
        <v>2</v>
      </c>
    </row>
    <row r="242" spans="1:67" ht="12.95" customHeight="1">
      <c r="D242" s="4" t="s">
        <v>85</v>
      </c>
      <c r="E242" s="4"/>
      <c r="F242" s="4"/>
      <c r="G242" s="4"/>
      <c r="H242" s="4"/>
      <c r="I242" s="4"/>
      <c r="J242" s="4"/>
      <c r="K242" s="4"/>
      <c r="M242" s="1423" t="s">
        <v>2741</v>
      </c>
      <c r="N242" s="1403"/>
      <c r="O242" s="1403"/>
      <c r="P242" s="1403"/>
      <c r="Q242" s="1403"/>
      <c r="R242" s="1403"/>
      <c r="S242" s="1403"/>
      <c r="T242" s="1403"/>
      <c r="U242" s="1403"/>
      <c r="V242" s="1403"/>
      <c r="W242" s="1403"/>
      <c r="X242" s="1403"/>
      <c r="Y242" s="1403"/>
      <c r="Z242" s="1403"/>
      <c r="AA242" s="1403"/>
      <c r="AB242" s="1403"/>
      <c r="AC242" s="1403"/>
      <c r="AD242" s="1403"/>
      <c r="AE242" s="1403"/>
      <c r="BB242" s="205" t="s">
        <v>537</v>
      </c>
      <c r="BG242" s="241">
        <f>IF(AND(AND($M$258="nonprofit",$M$266="for profit",$M$274="nonprofit")),2,0)</f>
        <v>0</v>
      </c>
    </row>
    <row r="243" spans="1:67" ht="12.95" customHeight="1">
      <c r="D243" s="4" t="s">
        <v>579</v>
      </c>
      <c r="E243" s="4"/>
      <c r="M243" s="1423" t="s">
        <v>67</v>
      </c>
      <c r="N243" s="1403"/>
      <c r="O243" s="1403"/>
      <c r="P243" s="1403"/>
      <c r="Q243" s="1403"/>
      <c r="R243" s="1403"/>
      <c r="S243" s="1403"/>
      <c r="T243" s="1403"/>
      <c r="V243" s="33" t="s">
        <v>86</v>
      </c>
      <c r="W243" s="1293" t="s">
        <v>2643</v>
      </c>
      <c r="X243" s="1369"/>
      <c r="Y243" s="4" t="s">
        <v>582</v>
      </c>
      <c r="AC243" s="1403">
        <v>92507</v>
      </c>
      <c r="AD243" s="1403"/>
      <c r="AE243" s="1403"/>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423" t="s">
        <v>2738</v>
      </c>
      <c r="N244" s="1403"/>
      <c r="O244" s="1403"/>
      <c r="P244" s="1403"/>
      <c r="Q244" s="1403"/>
      <c r="R244" s="1403"/>
      <c r="S244" s="1403"/>
      <c r="T244" s="1403"/>
      <c r="U244" s="1403"/>
      <c r="V244" s="1403"/>
      <c r="W244" s="1403"/>
      <c r="X244" s="1403"/>
      <c r="Y244" s="1403"/>
      <c r="Z244" s="1403"/>
      <c r="AA244" s="1403"/>
      <c r="AB244" s="1403"/>
      <c r="AC244" s="1403"/>
      <c r="AD244" s="1403"/>
      <c r="AE244" s="1403"/>
      <c r="AI244" s="4"/>
      <c r="AJ244" s="4"/>
      <c r="AK244" s="4"/>
      <c r="AL244" s="4"/>
      <c r="AM244" s="4"/>
      <c r="AN244" s="4"/>
      <c r="AO244" s="4"/>
      <c r="AP244" s="4"/>
      <c r="AQ244" s="4"/>
      <c r="AR244" s="4"/>
      <c r="AS244" s="4"/>
      <c r="AT244" s="4"/>
      <c r="BB244" s="205"/>
      <c r="BG244" s="204"/>
    </row>
    <row r="245" spans="1:67" ht="12.95" customHeight="1">
      <c r="D245" s="4" t="s">
        <v>88</v>
      </c>
      <c r="E245" s="4"/>
      <c r="F245" s="4"/>
      <c r="M245" s="1405">
        <v>9519072370</v>
      </c>
      <c r="N245" s="1405"/>
      <c r="O245" s="1405"/>
      <c r="P245" s="1405"/>
      <c r="Q245" s="1405"/>
      <c r="R245" s="1405"/>
      <c r="S245" s="4" t="s">
        <v>206</v>
      </c>
      <c r="T245" s="4"/>
      <c r="U245" s="1369"/>
      <c r="V245" s="1369"/>
      <c r="W245" s="1369"/>
      <c r="X245" s="4" t="s">
        <v>89</v>
      </c>
      <c r="Z245" s="1405"/>
      <c r="AA245" s="1405"/>
      <c r="AB245" s="1405"/>
      <c r="AC245" s="1405"/>
      <c r="AD245" s="1405"/>
      <c r="AE245" s="1405"/>
      <c r="AU245" s="4"/>
      <c r="AV245" s="4"/>
      <c r="AW245" s="4"/>
      <c r="AX245" s="4"/>
      <c r="AY245" s="4"/>
      <c r="AZ245" s="4"/>
      <c r="BB245" s="204" t="s">
        <v>536</v>
      </c>
      <c r="BG245" s="241">
        <f>IF(AND(AND($M$258="nonprofit",$M$266="nonprofit",$M$274="(select one)")),1,0)</f>
        <v>0</v>
      </c>
    </row>
    <row r="246" spans="1:67" ht="12.95" customHeight="1">
      <c r="D246" s="4" t="s">
        <v>90</v>
      </c>
      <c r="E246" s="4"/>
      <c r="F246" s="4"/>
      <c r="M246" s="1711" t="s">
        <v>2742</v>
      </c>
      <c r="N246" s="1711"/>
      <c r="O246" s="1711"/>
      <c r="P246" s="1711"/>
      <c r="Q246" s="1711"/>
      <c r="R246" s="1711"/>
      <c r="S246" s="1711"/>
      <c r="T246" s="1711"/>
      <c r="U246" s="1711"/>
      <c r="V246" s="1711"/>
      <c r="W246" s="1711"/>
      <c r="X246" s="1711"/>
      <c r="Y246" s="1711"/>
      <c r="Z246" s="1711"/>
      <c r="AA246" s="1711"/>
      <c r="AB246" s="1711"/>
      <c r="AC246" s="1711"/>
      <c r="AD246" s="1711"/>
      <c r="AE246" s="1711"/>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404" t="s">
        <v>525</v>
      </c>
      <c r="N247" s="1404"/>
      <c r="O247" s="1404"/>
      <c r="P247" s="1404"/>
      <c r="Q247" s="1404"/>
      <c r="R247" s="1404"/>
      <c r="S247" s="1404"/>
      <c r="T247" s="1404"/>
      <c r="U247" s="204" t="s">
        <v>905</v>
      </c>
      <c r="V247" s="204"/>
      <c r="W247" s="204"/>
      <c r="X247" s="204"/>
      <c r="Y247" s="204"/>
      <c r="Z247" s="204"/>
      <c r="AA247" s="1725"/>
      <c r="AB247" s="1725"/>
      <c r="AC247" s="1725"/>
      <c r="AD247" s="1725"/>
      <c r="AE247" s="1725"/>
      <c r="AF247" s="1725"/>
      <c r="AG247" s="1725"/>
      <c r="AH247" s="1725"/>
      <c r="AI247" s="1725"/>
      <c r="AJ247" s="1725"/>
      <c r="AK247" s="1725"/>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5" customHeight="1">
      <c r="D248" t="s">
        <v>530</v>
      </c>
      <c r="M248" s="1377"/>
      <c r="N248" s="1377"/>
      <c r="O248" s="1377"/>
      <c r="P248" s="1377"/>
      <c r="Q248" s="1377"/>
      <c r="R248" s="1377"/>
      <c r="S248" s="1377"/>
      <c r="T248" s="1377"/>
      <c r="U248" s="1377"/>
      <c r="V248" s="1377"/>
      <c r="W248" s="1377"/>
      <c r="X248" s="1377"/>
      <c r="Y248" s="1377"/>
      <c r="Z248" s="1377"/>
      <c r="AA248" s="1377"/>
      <c r="AB248" s="1377"/>
      <c r="AC248" s="1377"/>
      <c r="AD248" s="1377"/>
      <c r="AE248" s="1377"/>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1182</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425" t="s">
        <v>2654</v>
      </c>
      <c r="N252" s="1426"/>
      <c r="O252" s="1426"/>
      <c r="P252" s="1426"/>
      <c r="Q252" s="1426"/>
      <c r="R252" s="1426"/>
      <c r="S252" s="1426"/>
      <c r="T252" s="1426"/>
      <c r="U252" s="1426"/>
      <c r="V252" s="1426"/>
      <c r="W252" s="1426"/>
      <c r="X252" s="1426"/>
      <c r="Y252" s="1426"/>
      <c r="Z252" s="1426"/>
      <c r="AA252" s="1426"/>
      <c r="AB252" s="1426"/>
      <c r="AC252" s="1426"/>
      <c r="AD252" s="1426"/>
      <c r="AE252" s="1426"/>
      <c r="AF252" s="1426" t="s">
        <v>2652</v>
      </c>
      <c r="AG252" s="1426"/>
      <c r="AH252" s="1426"/>
      <c r="AI252" s="1426"/>
      <c r="AJ252" s="1426"/>
      <c r="AK252" s="1426"/>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03" t="str">
        <f>L284</f>
        <v>6451 Box Springs Blvd.</v>
      </c>
      <c r="N253" s="1403"/>
      <c r="O253" s="1403"/>
      <c r="P253" s="1403"/>
      <c r="Q253" s="1403"/>
      <c r="R253" s="1403"/>
      <c r="S253" s="1403"/>
      <c r="T253" s="1403"/>
      <c r="U253" s="1403"/>
      <c r="V253" s="1403"/>
      <c r="W253" s="1403"/>
      <c r="X253" s="1403"/>
      <c r="Y253" s="1403"/>
      <c r="Z253" s="1403"/>
      <c r="AA253" s="1403"/>
      <c r="AB253" s="1403"/>
      <c r="AC253" s="1403"/>
      <c r="AD253" s="1403"/>
      <c r="AE253" s="1403"/>
      <c r="AF253" s="3" t="s">
        <v>1178</v>
      </c>
      <c r="AL253" s="4"/>
      <c r="AM253" s="4"/>
      <c r="AN253" s="4"/>
      <c r="AO253" s="4"/>
      <c r="AP253" s="4"/>
      <c r="AQ253" s="4"/>
      <c r="AR253" s="4"/>
      <c r="AS253" s="4"/>
      <c r="AT253" s="4"/>
      <c r="BB253" t="s">
        <v>307</v>
      </c>
      <c r="BG253">
        <v>1</v>
      </c>
      <c r="BH253" t="s">
        <v>533</v>
      </c>
    </row>
    <row r="254" spans="1:67" ht="12.95" customHeight="1">
      <c r="A254" s="19"/>
      <c r="B254" s="4"/>
      <c r="C254" s="4"/>
      <c r="D254" s="4" t="s">
        <v>579</v>
      </c>
      <c r="E254" s="4"/>
      <c r="M254" s="1403" t="str">
        <f>L285</f>
        <v>Riverside</v>
      </c>
      <c r="N254" s="1403"/>
      <c r="O254" s="1403"/>
      <c r="P254" s="1403"/>
      <c r="Q254" s="1403"/>
      <c r="R254" s="1403"/>
      <c r="S254" s="1403"/>
      <c r="T254" s="1403"/>
      <c r="V254" s="33" t="s">
        <v>86</v>
      </c>
      <c r="W254" s="1293" t="s">
        <v>2643</v>
      </c>
      <c r="X254" s="1369"/>
      <c r="Y254" s="4" t="s">
        <v>582</v>
      </c>
      <c r="AC254" s="1403">
        <f>AB285</f>
        <v>92507</v>
      </c>
      <c r="AD254" s="1403"/>
      <c r="AE254" s="1403"/>
      <c r="AF254" s="3" t="s">
        <v>1179</v>
      </c>
      <c r="AU254" s="4"/>
      <c r="AV254" s="4"/>
      <c r="AW254" s="4"/>
      <c r="AX254" s="4"/>
      <c r="AY254" s="4"/>
      <c r="BB254" s="4" t="s">
        <v>280</v>
      </c>
      <c r="BG254">
        <v>2</v>
      </c>
      <c r="BH254" t="s">
        <v>565</v>
      </c>
      <c r="BO254" s="239" t="str">
        <f>VLOOKUP(BG252,BG253:BH256,2,FALSE)</f>
        <v>Joint Venture</v>
      </c>
    </row>
    <row r="255" spans="1:67" ht="12.95" customHeight="1">
      <c r="A255" s="19"/>
      <c r="B255" s="4"/>
      <c r="C255" s="4"/>
      <c r="D255" s="4" t="s">
        <v>87</v>
      </c>
      <c r="E255" s="4"/>
      <c r="F255" s="4"/>
      <c r="G255" s="4"/>
      <c r="H255" s="4"/>
      <c r="I255" s="4"/>
      <c r="J255" s="4"/>
      <c r="K255" s="4"/>
      <c r="L255" s="19"/>
      <c r="M255" s="1403" t="str">
        <f>L286</f>
        <v>William Leach</v>
      </c>
      <c r="N255" s="1403"/>
      <c r="O255" s="1403"/>
      <c r="P255" s="1403"/>
      <c r="Q255" s="1403"/>
      <c r="R255" s="1403"/>
      <c r="S255" s="1403"/>
      <c r="T255" s="1403"/>
      <c r="U255" s="1403"/>
      <c r="V255" s="1403"/>
      <c r="W255" s="1403"/>
      <c r="X255" s="1403"/>
      <c r="Y255" s="1403"/>
      <c r="Z255" s="1403"/>
      <c r="AA255" s="1403"/>
      <c r="AB255" s="1403"/>
      <c r="AC255" s="1403"/>
      <c r="AD255" s="1403"/>
      <c r="AE255" s="1403"/>
      <c r="AH255" s="1726">
        <v>1E-3</v>
      </c>
      <c r="AI255" s="1726"/>
      <c r="AJ255" s="1726"/>
      <c r="AK255" s="1726"/>
      <c r="AL255" s="4"/>
      <c r="AM255" s="4"/>
      <c r="AN255" s="4"/>
      <c r="AO255" s="4"/>
      <c r="AP255" s="4"/>
      <c r="AQ255" s="4"/>
      <c r="AR255" s="4"/>
      <c r="AS255" s="4"/>
      <c r="AT255" s="4"/>
      <c r="BB255" s="4" t="s">
        <v>173</v>
      </c>
      <c r="BG255">
        <v>3</v>
      </c>
      <c r="BH255" t="s">
        <v>535</v>
      </c>
      <c r="BN255" s="34"/>
    </row>
    <row r="256" spans="1:67" ht="12.95" customHeight="1">
      <c r="A256" s="19"/>
      <c r="B256" s="4"/>
      <c r="C256" s="4"/>
      <c r="D256" s="4" t="s">
        <v>88</v>
      </c>
      <c r="E256" s="4"/>
      <c r="F256" s="4"/>
      <c r="M256" s="1405">
        <f>L287</f>
        <v>9515386244</v>
      </c>
      <c r="N256" s="1405"/>
      <c r="O256" s="1405"/>
      <c r="P256" s="1405"/>
      <c r="Q256" s="1405"/>
      <c r="R256" s="1405"/>
      <c r="S256" s="4" t="s">
        <v>206</v>
      </c>
      <c r="T256" s="4"/>
      <c r="U256" s="1369"/>
      <c r="V256" s="1369"/>
      <c r="W256" s="1369"/>
      <c r="X256" s="4" t="s">
        <v>89</v>
      </c>
      <c r="Z256" s="1405"/>
      <c r="AA256" s="1405"/>
      <c r="AB256" s="1405"/>
      <c r="AC256" s="1405"/>
      <c r="AD256" s="1405"/>
      <c r="AE256" s="1405"/>
      <c r="AU256" s="4"/>
      <c r="AV256" s="4"/>
      <c r="AW256" s="4"/>
      <c r="AX256" s="4"/>
      <c r="AY256" s="4"/>
      <c r="BG256">
        <v>0</v>
      </c>
      <c r="BH256" s="3" t="str">
        <f>""</f>
        <v/>
      </c>
      <c r="BN256" s="34"/>
    </row>
    <row r="257" spans="1:66" ht="12.95" customHeight="1">
      <c r="A257" s="19"/>
      <c r="B257" s="4"/>
      <c r="C257" s="4"/>
      <c r="D257" s="4" t="s">
        <v>90</v>
      </c>
      <c r="E257" s="4"/>
      <c r="F257" s="4"/>
      <c r="M257" s="1711" t="str">
        <f>L288</f>
        <v>William@kingdomdevelopment.net</v>
      </c>
      <c r="N257" s="1711"/>
      <c r="O257" s="1711"/>
      <c r="P257" s="1711"/>
      <c r="Q257" s="1711"/>
      <c r="R257" s="1711"/>
      <c r="S257" s="1711"/>
      <c r="T257" s="1711"/>
      <c r="U257" s="1711"/>
      <c r="V257" s="1711"/>
      <c r="W257" s="1711"/>
      <c r="X257" s="1711"/>
      <c r="Y257" s="1711"/>
      <c r="Z257" s="1711"/>
      <c r="AA257" s="1711"/>
      <c r="AB257" s="1711"/>
      <c r="AC257" s="1711"/>
      <c r="AD257" s="1711"/>
      <c r="AE257" s="1711"/>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404" t="s">
        <v>533</v>
      </c>
      <c r="N258" s="1404"/>
      <c r="O258" s="1404"/>
      <c r="P258" s="1404"/>
      <c r="Q258" s="1404"/>
      <c r="R258" s="1404"/>
      <c r="S258" s="1404"/>
      <c r="T258" s="1404"/>
      <c r="U258" s="204" t="s">
        <v>905</v>
      </c>
      <c r="V258" s="204"/>
      <c r="W258" s="204"/>
      <c r="X258" s="204"/>
      <c r="Y258" s="204"/>
      <c r="Z258" s="204"/>
      <c r="AA258" s="1745" t="s">
        <v>2651</v>
      </c>
      <c r="AB258" s="1725"/>
      <c r="AC258" s="1725"/>
      <c r="AD258" s="1725"/>
      <c r="AE258" s="1725"/>
      <c r="AF258" s="1725"/>
      <c r="AG258" s="1725"/>
      <c r="AH258" s="1725"/>
      <c r="AI258" s="1725"/>
      <c r="AJ258" s="1725"/>
      <c r="AK258" s="1725"/>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425" t="s">
        <v>2748</v>
      </c>
      <c r="N260" s="1426"/>
      <c r="O260" s="1426"/>
      <c r="P260" s="1426"/>
      <c r="Q260" s="1426"/>
      <c r="R260" s="1426"/>
      <c r="S260" s="1426"/>
      <c r="T260" s="1426"/>
      <c r="U260" s="1426"/>
      <c r="V260" s="1426"/>
      <c r="W260" s="1426"/>
      <c r="X260" s="1426"/>
      <c r="Y260" s="1426"/>
      <c r="Z260" s="1426"/>
      <c r="AA260" s="1426"/>
      <c r="AB260" s="1426"/>
      <c r="AC260" s="1426"/>
      <c r="AD260" s="1426"/>
      <c r="AE260" s="1426"/>
      <c r="AF260" s="1426" t="s">
        <v>2655</v>
      </c>
      <c r="AG260" s="1426"/>
      <c r="AH260" s="1426"/>
      <c r="AI260" s="1426"/>
      <c r="AJ260" s="1426"/>
      <c r="AK260" s="1426"/>
      <c r="AU260" s="4"/>
      <c r="AV260" s="4"/>
      <c r="AW260" s="4"/>
      <c r="AX260" s="4"/>
      <c r="AY260" s="4"/>
      <c r="BN260" s="34"/>
    </row>
    <row r="261" spans="1:66" ht="12.95" customHeight="1">
      <c r="A261" s="19"/>
      <c r="B261" s="4"/>
      <c r="C261" s="4"/>
      <c r="D261" s="4" t="s">
        <v>85</v>
      </c>
      <c r="E261" s="4"/>
      <c r="F261" s="4"/>
      <c r="G261" s="4"/>
      <c r="H261" s="4"/>
      <c r="I261" s="4"/>
      <c r="J261" s="4"/>
      <c r="K261" s="4"/>
      <c r="L261" s="4"/>
      <c r="M261" s="1403" t="str">
        <f>M242</f>
        <v>6451 Box Springs Blvd.</v>
      </c>
      <c r="N261" s="1403"/>
      <c r="O261" s="1403"/>
      <c r="P261" s="1403"/>
      <c r="Q261" s="1403"/>
      <c r="R261" s="1403"/>
      <c r="S261" s="1403"/>
      <c r="T261" s="1403"/>
      <c r="U261" s="1403"/>
      <c r="V261" s="1403"/>
      <c r="W261" s="1403"/>
      <c r="X261" s="1403"/>
      <c r="Y261" s="1403"/>
      <c r="Z261" s="1403"/>
      <c r="AA261" s="1403"/>
      <c r="AB261" s="1403"/>
      <c r="AC261" s="1403"/>
      <c r="AD261" s="1403"/>
      <c r="AE261" s="1403"/>
      <c r="AF261" s="3" t="s">
        <v>1178</v>
      </c>
      <c r="AL261" s="4"/>
      <c r="AM261" s="4"/>
      <c r="AN261" s="4"/>
      <c r="AO261" s="4"/>
      <c r="AP261" s="4"/>
      <c r="AQ261" s="4"/>
      <c r="AR261" s="4"/>
      <c r="AS261" s="4"/>
      <c r="AT261" s="4"/>
      <c r="BN261" s="34"/>
    </row>
    <row r="262" spans="1:66" ht="12.95" customHeight="1">
      <c r="A262" s="19"/>
      <c r="B262" s="4"/>
      <c r="C262" s="4"/>
      <c r="D262" s="4" t="s">
        <v>579</v>
      </c>
      <c r="E262" s="4"/>
      <c r="M262" s="1403" t="str">
        <f>M243</f>
        <v>Riverside</v>
      </c>
      <c r="N262" s="1403"/>
      <c r="O262" s="1403"/>
      <c r="P262" s="1403"/>
      <c r="Q262" s="1403"/>
      <c r="R262" s="1403"/>
      <c r="S262" s="1403"/>
      <c r="T262" s="1403"/>
      <c r="V262" s="33" t="s">
        <v>86</v>
      </c>
      <c r="W262" s="1369" t="str">
        <f>W243</f>
        <v>CA</v>
      </c>
      <c r="X262" s="1369"/>
      <c r="Y262" s="4" t="s">
        <v>582</v>
      </c>
      <c r="AC262" s="1403">
        <f>AC243</f>
        <v>92507</v>
      </c>
      <c r="AD262" s="1403"/>
      <c r="AE262" s="1403"/>
      <c r="AF262" s="3" t="s">
        <v>1179</v>
      </c>
      <c r="AU262" s="4"/>
      <c r="AV262" s="4"/>
      <c r="AW262" s="4"/>
      <c r="AX262" s="4"/>
      <c r="AY262" s="4"/>
      <c r="BN262" s="34"/>
    </row>
    <row r="263" spans="1:66" ht="12.95" customHeight="1">
      <c r="A263" s="19"/>
      <c r="B263" s="4"/>
      <c r="C263" s="4"/>
      <c r="D263" s="4" t="s">
        <v>87</v>
      </c>
      <c r="E263" s="4"/>
      <c r="F263" s="4"/>
      <c r="G263" s="4"/>
      <c r="H263" s="4"/>
      <c r="I263" s="4"/>
      <c r="J263" s="4"/>
      <c r="K263" s="4"/>
      <c r="L263" s="19"/>
      <c r="M263" s="1403" t="str">
        <f>M244</f>
        <v>Maria Medina</v>
      </c>
      <c r="N263" s="1403"/>
      <c r="O263" s="1403"/>
      <c r="P263" s="1403"/>
      <c r="Q263" s="1403"/>
      <c r="R263" s="1403"/>
      <c r="S263" s="1403"/>
      <c r="T263" s="1403"/>
      <c r="U263" s="1403"/>
      <c r="V263" s="1403"/>
      <c r="W263" s="1403"/>
      <c r="X263" s="1403"/>
      <c r="Y263" s="1403"/>
      <c r="Z263" s="1403"/>
      <c r="AA263" s="1403"/>
      <c r="AB263" s="1403"/>
      <c r="AC263" s="1403"/>
      <c r="AD263" s="1403"/>
      <c r="AE263" s="1403"/>
      <c r="AH263" s="1726">
        <v>4.1000000000000003E-3</v>
      </c>
      <c r="AI263" s="1726"/>
      <c r="AJ263" s="1726"/>
      <c r="AK263" s="1726"/>
      <c r="AL263" s="4"/>
      <c r="AM263" s="4"/>
      <c r="AN263" s="4"/>
      <c r="AO263" s="4"/>
      <c r="AP263" s="4"/>
      <c r="AQ263" s="4"/>
      <c r="AR263" s="4"/>
      <c r="AS263" s="4"/>
      <c r="AT263" s="4"/>
    </row>
    <row r="264" spans="1:66" ht="12.95" customHeight="1">
      <c r="A264" s="19"/>
      <c r="B264" s="4"/>
      <c r="C264" s="4"/>
      <c r="D264" s="4" t="s">
        <v>88</v>
      </c>
      <c r="E264" s="4"/>
      <c r="F264" s="4"/>
      <c r="M264" s="1405">
        <f>M245</f>
        <v>9519072370</v>
      </c>
      <c r="N264" s="1405"/>
      <c r="O264" s="1405"/>
      <c r="P264" s="1405"/>
      <c r="Q264" s="1405"/>
      <c r="R264" s="1405"/>
      <c r="S264" s="4" t="s">
        <v>206</v>
      </c>
      <c r="T264" s="4"/>
      <c r="U264" s="1369"/>
      <c r="V264" s="1369"/>
      <c r="W264" s="1369"/>
      <c r="X264" s="4" t="s">
        <v>89</v>
      </c>
      <c r="Z264" s="1405"/>
      <c r="AA264" s="1405"/>
      <c r="AB264" s="1405"/>
      <c r="AC264" s="1405"/>
      <c r="AD264" s="1405"/>
      <c r="AE264" s="1405"/>
      <c r="AU264" s="4"/>
      <c r="AV264" s="4"/>
      <c r="AW264" s="4"/>
      <c r="AX264" s="4"/>
      <c r="AY264" s="4"/>
      <c r="BN264" s="34"/>
    </row>
    <row r="265" spans="1:66" ht="12.95" customHeight="1">
      <c r="A265" s="19"/>
      <c r="B265" s="4"/>
      <c r="C265" s="4"/>
      <c r="D265" s="4" t="s">
        <v>90</v>
      </c>
      <c r="E265" s="4"/>
      <c r="F265" s="4"/>
      <c r="M265" s="1711" t="str">
        <f>M246</f>
        <v>mariaolivebranchcd@outlook.com</v>
      </c>
      <c r="N265" s="1711"/>
      <c r="O265" s="1711"/>
      <c r="P265" s="1711"/>
      <c r="Q265" s="1711"/>
      <c r="R265" s="1711"/>
      <c r="S265" s="1711"/>
      <c r="T265" s="1711"/>
      <c r="U265" s="1711"/>
      <c r="V265" s="1711"/>
      <c r="W265" s="1711"/>
      <c r="X265" s="1711"/>
      <c r="Y265" s="1711"/>
      <c r="Z265" s="1711"/>
      <c r="AA265" s="1711"/>
      <c r="AB265" s="1711"/>
      <c r="AC265" s="1711"/>
      <c r="AD265" s="1711"/>
      <c r="AE265" s="1711"/>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404" t="s">
        <v>533</v>
      </c>
      <c r="N266" s="1404"/>
      <c r="O266" s="1404"/>
      <c r="P266" s="1404"/>
      <c r="Q266" s="1404"/>
      <c r="R266" s="1404"/>
      <c r="S266" s="1404"/>
      <c r="T266" s="1404"/>
      <c r="U266" s="204" t="s">
        <v>905</v>
      </c>
      <c r="V266" s="204"/>
      <c r="W266" s="204"/>
      <c r="X266" s="204"/>
      <c r="Y266" s="204"/>
      <c r="Z266" s="204"/>
      <c r="AA266" s="1725"/>
      <c r="AB266" s="1725"/>
      <c r="AC266" s="1725"/>
      <c r="AD266" s="1725"/>
      <c r="AE266" s="1725"/>
      <c r="AF266" s="1725"/>
      <c r="AG266" s="1725"/>
      <c r="AH266" s="1725"/>
      <c r="AI266" s="1725"/>
      <c r="AJ266" s="1725"/>
      <c r="AK266" s="1725"/>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425" t="s">
        <v>2653</v>
      </c>
      <c r="N268" s="1426"/>
      <c r="O268" s="1426"/>
      <c r="P268" s="1426"/>
      <c r="Q268" s="1426"/>
      <c r="R268" s="1426"/>
      <c r="S268" s="1426"/>
      <c r="T268" s="1426"/>
      <c r="U268" s="1426"/>
      <c r="V268" s="1426"/>
      <c r="W268" s="1426"/>
      <c r="X268" s="1426"/>
      <c r="Y268" s="1426"/>
      <c r="Z268" s="1426"/>
      <c r="AA268" s="1426"/>
      <c r="AB268" s="1426"/>
      <c r="AC268" s="1426"/>
      <c r="AD268" s="1426"/>
      <c r="AE268" s="1426"/>
      <c r="AF268" s="1426" t="s">
        <v>2655</v>
      </c>
      <c r="AG268" s="1426"/>
      <c r="AH268" s="1426"/>
      <c r="AI268" s="1426"/>
      <c r="AJ268" s="1426"/>
      <c r="AK268" s="1426"/>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23" t="s">
        <v>2743</v>
      </c>
      <c r="N269" s="1403"/>
      <c r="O269" s="1403"/>
      <c r="P269" s="1403"/>
      <c r="Q269" s="1403"/>
      <c r="R269" s="1403"/>
      <c r="S269" s="1403"/>
      <c r="T269" s="1403"/>
      <c r="U269" s="1403"/>
      <c r="V269" s="1403"/>
      <c r="W269" s="1403"/>
      <c r="X269" s="1403"/>
      <c r="Y269" s="1403"/>
      <c r="Z269" s="1403"/>
      <c r="AA269" s="1403"/>
      <c r="AB269" s="1403"/>
      <c r="AC269" s="1403"/>
      <c r="AD269" s="1403"/>
      <c r="AE269" s="1403"/>
      <c r="AF269" s="3" t="s">
        <v>1178</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423" t="s">
        <v>2650</v>
      </c>
      <c r="N270" s="1403"/>
      <c r="O270" s="1403"/>
      <c r="P270" s="1403"/>
      <c r="Q270" s="1403"/>
      <c r="R270" s="1403"/>
      <c r="S270" s="1403"/>
      <c r="T270" s="1403"/>
      <c r="V270" s="33" t="s">
        <v>86</v>
      </c>
      <c r="W270" s="1293" t="s">
        <v>2643</v>
      </c>
      <c r="X270" s="1369"/>
      <c r="Y270" s="4" t="s">
        <v>582</v>
      </c>
      <c r="AC270" s="1403">
        <v>91344</v>
      </c>
      <c r="AD270" s="1403"/>
      <c r="AE270" s="1403"/>
      <c r="AF270" s="3" t="s">
        <v>1179</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23" t="s">
        <v>2648</v>
      </c>
      <c r="N271" s="1403"/>
      <c r="O271" s="1403"/>
      <c r="P271" s="1403"/>
      <c r="Q271" s="1403"/>
      <c r="R271" s="1403"/>
      <c r="S271" s="1403"/>
      <c r="T271" s="1403"/>
      <c r="U271" s="1403"/>
      <c r="V271" s="1403"/>
      <c r="W271" s="1403"/>
      <c r="X271" s="1403"/>
      <c r="Y271" s="1403"/>
      <c r="Z271" s="1403"/>
      <c r="AA271" s="1403"/>
      <c r="AB271" s="1403"/>
      <c r="AC271" s="1403"/>
      <c r="AD271" s="1403"/>
      <c r="AE271" s="1403"/>
      <c r="AH271" s="1726">
        <v>4.8999999999999998E-3</v>
      </c>
      <c r="AI271" s="1726"/>
      <c r="AJ271" s="1726"/>
      <c r="AK271" s="1726"/>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05">
        <v>8182717174</v>
      </c>
      <c r="N272" s="1405"/>
      <c r="O272" s="1405"/>
      <c r="P272" s="1405"/>
      <c r="Q272" s="1405"/>
      <c r="R272" s="1405"/>
      <c r="S272" s="4" t="s">
        <v>206</v>
      </c>
      <c r="T272" s="4"/>
      <c r="U272" s="1369"/>
      <c r="V272" s="1369"/>
      <c r="W272" s="1369"/>
      <c r="X272" s="4" t="s">
        <v>89</v>
      </c>
      <c r="Z272" s="1405"/>
      <c r="AA272" s="1405"/>
      <c r="AB272" s="1405"/>
      <c r="AC272" s="1405"/>
      <c r="AD272" s="1405"/>
      <c r="AE272" s="1405"/>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11" t="s">
        <v>2649</v>
      </c>
      <c r="N273" s="1711"/>
      <c r="O273" s="1711"/>
      <c r="P273" s="1711"/>
      <c r="Q273" s="1711"/>
      <c r="R273" s="1711"/>
      <c r="S273" s="1711"/>
      <c r="T273" s="1711"/>
      <c r="U273" s="1711"/>
      <c r="V273" s="1711"/>
      <c r="W273" s="1711"/>
      <c r="X273" s="1711"/>
      <c r="Y273" s="1711"/>
      <c r="Z273" s="1711"/>
      <c r="AA273" s="1712"/>
      <c r="AB273" s="1712"/>
      <c r="AC273" s="1712"/>
      <c r="AD273" s="1712"/>
      <c r="AE273" s="1712"/>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404" t="s">
        <v>535</v>
      </c>
      <c r="N274" s="1404"/>
      <c r="O274" s="1404"/>
      <c r="P274" s="1404"/>
      <c r="Q274" s="1404"/>
      <c r="R274" s="1404"/>
      <c r="S274" s="1404"/>
      <c r="T274" s="1404"/>
      <c r="U274" s="204" t="s">
        <v>905</v>
      </c>
      <c r="V274" s="204"/>
      <c r="W274" s="204"/>
      <c r="X274" s="204"/>
      <c r="Y274" s="204"/>
      <c r="Z274" s="204"/>
      <c r="AA274" s="1741"/>
      <c r="AB274" s="1741"/>
      <c r="AC274" s="1741"/>
      <c r="AD274" s="1741"/>
      <c r="AE274" s="1741"/>
      <c r="AF274" s="1741"/>
      <c r="AG274" s="1741"/>
      <c r="AH274" s="1741"/>
      <c r="AI274" s="1741"/>
      <c r="AJ274" s="1741"/>
      <c r="AK274" s="1741"/>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295</v>
      </c>
      <c r="D276" s="4"/>
      <c r="E276" s="4"/>
      <c r="F276" s="4"/>
      <c r="G276" s="4"/>
      <c r="H276" s="4"/>
      <c r="I276" s="4"/>
      <c r="J276" s="4"/>
      <c r="K276" s="4"/>
      <c r="L276" s="4"/>
      <c r="M276" s="35"/>
      <c r="N276" s="35"/>
      <c r="O276" s="35"/>
      <c r="P276" s="35"/>
      <c r="Q276" s="35"/>
      <c r="T276" s="1713" t="str">
        <f>IFERROR(BO254,"")</f>
        <v>Joint Venture</v>
      </c>
      <c r="U276" s="1713"/>
      <c r="V276" s="1713"/>
      <c r="W276" s="1713"/>
      <c r="X276" s="1713"/>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172</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403" t="s">
        <v>173</v>
      </c>
      <c r="E279" s="1403"/>
      <c r="F279" s="1403"/>
      <c r="G279" s="1403"/>
      <c r="H279" s="1403"/>
      <c r="J279" t="s">
        <v>279</v>
      </c>
      <c r="X279" s="1651">
        <v>46174</v>
      </c>
      <c r="Y279" s="1651"/>
      <c r="Z279" s="1651"/>
      <c r="AA279" s="1651"/>
      <c r="AB279" s="1651"/>
      <c r="AC279" s="1651"/>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425" t="s">
        <v>2744</v>
      </c>
      <c r="M283" s="1426"/>
      <c r="N283" s="1426"/>
      <c r="O283" s="1426"/>
      <c r="P283" s="1426"/>
      <c r="Q283" s="1426"/>
      <c r="R283" s="1426"/>
      <c r="S283" s="1426"/>
      <c r="T283" s="1426"/>
      <c r="U283" s="1426"/>
      <c r="V283" s="1426"/>
      <c r="W283" s="1426"/>
      <c r="X283" s="1426"/>
      <c r="Y283" s="1426"/>
      <c r="Z283" s="1426"/>
      <c r="AA283" s="1426"/>
      <c r="AB283" s="1426"/>
      <c r="AC283" s="1426"/>
      <c r="AD283" s="1426"/>
      <c r="AE283" s="1426"/>
      <c r="AF283" s="1426"/>
      <c r="AG283" s="1426"/>
      <c r="AH283" s="1426"/>
      <c r="AI283" s="1426"/>
      <c r="AJ283" s="1426"/>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23" t="s">
        <v>2741</v>
      </c>
      <c r="M284" s="1403"/>
      <c r="N284" s="1403"/>
      <c r="O284" s="1403"/>
      <c r="P284" s="1403"/>
      <c r="Q284" s="1403"/>
      <c r="R284" s="1403"/>
      <c r="S284" s="1403"/>
      <c r="T284" s="1403"/>
      <c r="U284" s="1403"/>
      <c r="V284" s="1403"/>
      <c r="W284" s="1403"/>
      <c r="X284" s="1403"/>
      <c r="Y284" s="1403"/>
      <c r="Z284" s="1403"/>
      <c r="AA284" s="1403"/>
      <c r="AB284" s="1403"/>
      <c r="AC284" s="1403"/>
      <c r="AD284" s="1403"/>
      <c r="AK284" s="3"/>
      <c r="AL284" s="3"/>
      <c r="AM284" s="3"/>
      <c r="AN284" s="3"/>
      <c r="AO284" s="3"/>
      <c r="AP284" s="3"/>
      <c r="AQ284" s="3"/>
      <c r="AR284" s="3"/>
      <c r="AS284" s="3"/>
      <c r="AT284" s="3"/>
      <c r="AU284" s="3"/>
      <c r="AV284" s="3"/>
      <c r="AW284" s="3"/>
      <c r="AX284" s="3"/>
      <c r="AY284" s="3"/>
    </row>
    <row r="285" spans="1:51" ht="12.95" customHeight="1">
      <c r="D285" s="4" t="s">
        <v>579</v>
      </c>
      <c r="E285" s="4"/>
      <c r="L285" s="1423" t="s">
        <v>67</v>
      </c>
      <c r="M285" s="1403"/>
      <c r="N285" s="1403"/>
      <c r="O285" s="1403"/>
      <c r="P285" s="1403"/>
      <c r="Q285" s="1403"/>
      <c r="R285" s="1403"/>
      <c r="S285" s="1403"/>
      <c r="U285" s="33" t="s">
        <v>86</v>
      </c>
      <c r="V285" s="1293" t="s">
        <v>2643</v>
      </c>
      <c r="W285" s="1369"/>
      <c r="X285" s="4" t="s">
        <v>582</v>
      </c>
      <c r="AB285" s="1403">
        <v>92507</v>
      </c>
      <c r="AC285" s="1403"/>
      <c r="AD285" s="1403"/>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23" t="s">
        <v>2644</v>
      </c>
      <c r="M286" s="1403"/>
      <c r="N286" s="1403"/>
      <c r="O286" s="1403"/>
      <c r="P286" s="1403"/>
      <c r="Q286" s="1403"/>
      <c r="R286" s="1403"/>
      <c r="S286" s="1403"/>
      <c r="T286" s="1403"/>
      <c r="U286" s="1403"/>
      <c r="V286" s="1403"/>
      <c r="W286" s="1403"/>
      <c r="X286" s="1403"/>
      <c r="Y286" s="1403"/>
      <c r="Z286" s="1403"/>
      <c r="AA286" s="1403"/>
      <c r="AB286" s="1403"/>
      <c r="AC286" s="1403"/>
      <c r="AD286" s="1403"/>
      <c r="AI286" s="4"/>
      <c r="AJ286" s="4"/>
      <c r="AK286" s="3"/>
      <c r="AL286" s="3"/>
      <c r="AM286" s="3"/>
      <c r="AN286" s="3"/>
      <c r="AO286" s="3"/>
      <c r="AP286" s="3"/>
      <c r="AQ286" s="3"/>
      <c r="AR286" s="3"/>
      <c r="AS286" s="3"/>
      <c r="AT286" s="3"/>
    </row>
    <row r="287" spans="1:51" ht="12.95" customHeight="1">
      <c r="D287" s="4" t="s">
        <v>88</v>
      </c>
      <c r="E287" s="4"/>
      <c r="F287" s="4"/>
      <c r="L287" s="1405">
        <v>9515386244</v>
      </c>
      <c r="M287" s="1405"/>
      <c r="N287" s="1405"/>
      <c r="O287" s="1405"/>
      <c r="P287" s="1405"/>
      <c r="Q287" s="1405"/>
      <c r="R287" s="4" t="s">
        <v>206</v>
      </c>
      <c r="S287" s="4"/>
      <c r="T287" s="1369"/>
      <c r="U287" s="1369"/>
      <c r="V287" s="1369"/>
      <c r="W287" s="4" t="s">
        <v>89</v>
      </c>
      <c r="Y287" s="1405"/>
      <c r="Z287" s="1405"/>
      <c r="AA287" s="1405"/>
      <c r="AB287" s="1405"/>
      <c r="AC287" s="1405"/>
      <c r="AD287" s="1405"/>
    </row>
    <row r="288" spans="1:51" ht="12.95" customHeight="1">
      <c r="D288" s="4" t="s">
        <v>90</v>
      </c>
      <c r="E288" s="4"/>
      <c r="F288" s="4"/>
      <c r="L288" s="1711" t="s">
        <v>2645</v>
      </c>
      <c r="M288" s="1711"/>
      <c r="N288" s="1711"/>
      <c r="O288" s="1711"/>
      <c r="P288" s="1711"/>
      <c r="Q288" s="1711"/>
      <c r="R288" s="1711"/>
      <c r="S288" s="1711"/>
      <c r="T288" s="1711"/>
      <c r="U288" s="1711"/>
      <c r="V288" s="1711"/>
      <c r="W288" s="1711"/>
      <c r="X288" s="1711"/>
      <c r="Y288" s="1711"/>
      <c r="Z288" s="1711"/>
      <c r="AA288" s="1711"/>
      <c r="AB288" s="1711"/>
      <c r="AC288" s="1711"/>
      <c r="AD288" s="1711"/>
      <c r="AF288" s="4"/>
      <c r="AG288" s="4"/>
      <c r="AH288" s="4"/>
      <c r="AI288" s="4"/>
      <c r="AJ288" s="4"/>
      <c r="AU288" s="3"/>
      <c r="AV288" s="3"/>
      <c r="AW288" s="3"/>
      <c r="AX288" s="3"/>
      <c r="AY288" s="3"/>
    </row>
    <row r="289" spans="1:51" ht="12.95" customHeight="1">
      <c r="D289" s="3" t="s">
        <v>622</v>
      </c>
      <c r="E289" s="3"/>
      <c r="F289" s="3"/>
      <c r="G289" s="3"/>
      <c r="H289" s="3"/>
      <c r="I289" s="3"/>
      <c r="L289" s="1293" t="s">
        <v>2711</v>
      </c>
      <c r="M289" s="1293"/>
      <c r="N289" s="1293"/>
      <c r="O289" s="1293"/>
      <c r="P289" s="1293"/>
      <c r="Q289" s="1293"/>
      <c r="R289" s="1293"/>
      <c r="S289" s="1293"/>
      <c r="T289" s="1293"/>
      <c r="U289" s="1293"/>
      <c r="V289" s="1293"/>
      <c r="W289" s="1293"/>
      <c r="X289" s="1293"/>
      <c r="Y289" s="1293"/>
      <c r="Z289" s="1293"/>
      <c r="AA289" s="1293"/>
      <c r="AB289" s="1293"/>
      <c r="AC289" s="1293"/>
      <c r="AD289" s="1293"/>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278" t="s">
        <v>540</v>
      </c>
      <c r="B291" s="1278"/>
      <c r="C291" s="1278"/>
      <c r="D291" s="1278"/>
      <c r="E291" s="1278"/>
      <c r="F291" s="1278"/>
      <c r="G291" s="1278"/>
      <c r="H291" s="1278"/>
      <c r="I291" s="1278"/>
      <c r="J291" s="1278"/>
      <c r="K291" s="1278"/>
      <c r="L291" s="1278"/>
      <c r="M291" s="1278"/>
      <c r="N291" s="1278"/>
      <c r="O291" s="1278"/>
      <c r="P291" s="1278"/>
      <c r="Q291" s="1278"/>
      <c r="R291" s="1278"/>
      <c r="S291" s="1278"/>
      <c r="T291" s="1278"/>
      <c r="U291" s="1278"/>
      <c r="V291" s="1278"/>
      <c r="W291" s="1278"/>
      <c r="X291" s="1278"/>
      <c r="Y291" s="1278"/>
      <c r="Z291" s="1278"/>
      <c r="AA291" s="1278"/>
      <c r="AB291" s="1278"/>
      <c r="AC291" s="1278"/>
      <c r="AD291" s="1278"/>
      <c r="AE291" s="1278"/>
      <c r="AF291" s="1278"/>
      <c r="AG291" s="1278"/>
      <c r="AH291" s="1278"/>
      <c r="AI291" s="1278"/>
      <c r="AJ291" s="1278"/>
      <c r="AK291" s="1278"/>
      <c r="AL291" s="1278"/>
      <c r="AM291" s="1278"/>
      <c r="AN291" s="1278"/>
      <c r="AO291" s="1278"/>
      <c r="AP291" s="1278"/>
      <c r="AQ291" s="1278"/>
      <c r="AR291" s="1278"/>
      <c r="AS291" s="1278"/>
      <c r="AT291" s="1278"/>
      <c r="AU291" s="95"/>
      <c r="AV291" s="95"/>
      <c r="AW291" s="95"/>
      <c r="AX291" s="95"/>
      <c r="AY291" s="95"/>
    </row>
    <row r="292" spans="1:51" ht="12.95" customHeight="1">
      <c r="A292" s="1278"/>
      <c r="B292" s="1278"/>
      <c r="C292" s="1278"/>
      <c r="D292" s="1278"/>
      <c r="E292" s="1278"/>
      <c r="F292" s="1278"/>
      <c r="G292" s="1278"/>
      <c r="H292" s="1278"/>
      <c r="I292" s="1278"/>
      <c r="J292" s="1278"/>
      <c r="K292" s="1278"/>
      <c r="L292" s="1278"/>
      <c r="M292" s="1278"/>
      <c r="N292" s="1278"/>
      <c r="O292" s="1278"/>
      <c r="P292" s="1278"/>
      <c r="Q292" s="1278"/>
      <c r="R292" s="1278"/>
      <c r="S292" s="1278"/>
      <c r="T292" s="1278"/>
      <c r="U292" s="1278"/>
      <c r="V292" s="1278"/>
      <c r="W292" s="1278"/>
      <c r="X292" s="1278"/>
      <c r="Y292" s="1278"/>
      <c r="Z292" s="1278"/>
      <c r="AA292" s="1278"/>
      <c r="AB292" s="1278"/>
      <c r="AC292" s="1278"/>
      <c r="AD292" s="1278"/>
      <c r="AE292" s="1278"/>
      <c r="AF292" s="1278"/>
      <c r="AG292" s="1278"/>
      <c r="AH292" s="1278"/>
      <c r="AI292" s="1278"/>
      <c r="AJ292" s="1278"/>
      <c r="AK292" s="1278"/>
      <c r="AL292" s="1278"/>
      <c r="AM292" s="1278"/>
      <c r="AN292" s="1278"/>
      <c r="AO292" s="1278"/>
      <c r="AP292" s="1278"/>
      <c r="AQ292" s="1278"/>
      <c r="AR292" s="1278"/>
      <c r="AS292" s="1278"/>
      <c r="AT292" s="1278"/>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377" t="s">
        <v>2653</v>
      </c>
      <c r="I296" s="1377"/>
      <c r="J296" s="1377"/>
      <c r="K296" s="1377"/>
      <c r="L296" s="1377"/>
      <c r="M296" s="1377"/>
      <c r="N296" s="1377"/>
      <c r="O296" s="1377"/>
      <c r="P296" s="1377"/>
      <c r="Q296" s="1377"/>
      <c r="R296" s="1377"/>
      <c r="T296" s="3" t="s">
        <v>566</v>
      </c>
      <c r="V296" s="3"/>
      <c r="W296" s="3"/>
      <c r="X296" s="3"/>
      <c r="Y296" s="3"/>
      <c r="AA296" s="1423" t="s">
        <v>2676</v>
      </c>
      <c r="AB296" s="1377"/>
      <c r="AC296" s="1377"/>
      <c r="AD296" s="1377"/>
      <c r="AE296" s="1377"/>
      <c r="AF296" s="1377"/>
      <c r="AG296" s="1377"/>
      <c r="AH296" s="1377"/>
      <c r="AI296" s="1377"/>
      <c r="AJ296" s="1377"/>
      <c r="AK296" s="1377"/>
    </row>
    <row r="297" spans="1:51" ht="12.95" customHeight="1">
      <c r="B297" s="3" t="s">
        <v>470</v>
      </c>
      <c r="C297" s="3"/>
      <c r="D297" s="3"/>
      <c r="E297" s="3"/>
      <c r="F297" s="3"/>
      <c r="H297" s="1404" t="str">
        <f>M269</f>
        <v>12034 Nugent Dr</v>
      </c>
      <c r="I297" s="1404"/>
      <c r="J297" s="1404"/>
      <c r="K297" s="1404"/>
      <c r="L297" s="1404"/>
      <c r="M297" s="1404"/>
      <c r="N297" s="1404"/>
      <c r="O297" s="1404"/>
      <c r="P297" s="1404"/>
      <c r="Q297" s="1404"/>
      <c r="R297" s="1404"/>
      <c r="T297" s="3" t="s">
        <v>470</v>
      </c>
      <c r="V297" s="3"/>
      <c r="W297" s="3"/>
      <c r="X297" s="3"/>
      <c r="Y297" s="3"/>
      <c r="AA297" s="1293" t="s">
        <v>2677</v>
      </c>
      <c r="AB297" s="1404"/>
      <c r="AC297" s="1404"/>
      <c r="AD297" s="1404"/>
      <c r="AE297" s="1404"/>
      <c r="AF297" s="1404"/>
      <c r="AG297" s="1404"/>
      <c r="AH297" s="1404"/>
      <c r="AI297" s="1404"/>
      <c r="AJ297" s="1404"/>
      <c r="AK297" s="1404"/>
    </row>
    <row r="298" spans="1:51" ht="12.95" customHeight="1">
      <c r="B298" s="3" t="s">
        <v>471</v>
      </c>
      <c r="C298" s="3"/>
      <c r="D298" s="3"/>
      <c r="E298" s="3"/>
      <c r="F298" s="3"/>
      <c r="H298" s="1404" t="s">
        <v>2656</v>
      </c>
      <c r="I298" s="1404"/>
      <c r="J298" s="1404"/>
      <c r="K298" s="1404"/>
      <c r="L298" s="1404"/>
      <c r="M298" s="1404"/>
      <c r="N298" s="1404"/>
      <c r="O298" s="1404"/>
      <c r="P298" s="1404"/>
      <c r="Q298" s="1404"/>
      <c r="R298" s="1404"/>
      <c r="T298" s="3" t="s">
        <v>75</v>
      </c>
      <c r="V298" s="3"/>
      <c r="W298" s="3"/>
      <c r="X298" s="3"/>
      <c r="Y298" s="3"/>
      <c r="AA298" s="1293" t="s">
        <v>2678</v>
      </c>
      <c r="AB298" s="1404"/>
      <c r="AC298" s="1404"/>
      <c r="AD298" s="1404"/>
      <c r="AE298" s="1404"/>
      <c r="AF298" s="1404"/>
      <c r="AG298" s="1404"/>
      <c r="AH298" s="1404"/>
      <c r="AI298" s="1404"/>
      <c r="AJ298" s="1404"/>
      <c r="AK298" s="1404"/>
    </row>
    <row r="299" spans="1:51" ht="12.95" customHeight="1">
      <c r="B299" s="3" t="s">
        <v>87</v>
      </c>
      <c r="C299" s="3"/>
      <c r="D299" s="3"/>
      <c r="E299" s="3"/>
      <c r="F299" s="3"/>
      <c r="H299" s="1404" t="str">
        <f>M271</f>
        <v>Aaron Mensch</v>
      </c>
      <c r="I299" s="1404"/>
      <c r="J299" s="1404"/>
      <c r="K299" s="1404"/>
      <c r="L299" s="1404"/>
      <c r="M299" s="1404"/>
      <c r="N299" s="1404"/>
      <c r="O299" s="1404"/>
      <c r="P299" s="1404"/>
      <c r="Q299" s="1404"/>
      <c r="R299" s="1404"/>
      <c r="T299" s="3" t="s">
        <v>87</v>
      </c>
      <c r="V299" s="3"/>
      <c r="W299" s="3"/>
      <c r="X299" s="3"/>
      <c r="Y299" s="3"/>
      <c r="AA299" s="1293" t="s">
        <v>2680</v>
      </c>
      <c r="AB299" s="1404"/>
      <c r="AC299" s="1404"/>
      <c r="AD299" s="1404"/>
      <c r="AE299" s="1404"/>
      <c r="AF299" s="1404"/>
      <c r="AG299" s="1404"/>
      <c r="AH299" s="1404"/>
      <c r="AI299" s="1404"/>
      <c r="AJ299" s="1404"/>
      <c r="AK299" s="1404"/>
    </row>
    <row r="300" spans="1:51" ht="12.95" customHeight="1">
      <c r="B300" s="3" t="s">
        <v>88</v>
      </c>
      <c r="C300" s="3"/>
      <c r="D300" s="3"/>
      <c r="E300" s="3"/>
      <c r="F300" s="3"/>
      <c r="G300" s="3"/>
      <c r="H300" s="1394">
        <v>8182717174</v>
      </c>
      <c r="I300" s="1394"/>
      <c r="J300" s="1394"/>
      <c r="K300" s="1394"/>
      <c r="L300" s="1394"/>
      <c r="M300" s="1394"/>
      <c r="N300" s="4" t="s">
        <v>206</v>
      </c>
      <c r="O300" s="4"/>
      <c r="P300" s="1403"/>
      <c r="Q300" s="1403"/>
      <c r="R300" s="1403"/>
      <c r="S300" s="3"/>
      <c r="T300" s="3" t="s">
        <v>88</v>
      </c>
      <c r="V300" s="3"/>
      <c r="W300" s="3"/>
      <c r="X300" s="3"/>
      <c r="Y300" s="3"/>
      <c r="AA300" s="1394">
        <v>3108535004</v>
      </c>
      <c r="AB300" s="1394"/>
      <c r="AC300" s="1394"/>
      <c r="AD300" s="1394"/>
      <c r="AE300" s="1394"/>
      <c r="AF300" s="1394"/>
      <c r="AG300" s="4" t="s">
        <v>206</v>
      </c>
      <c r="AH300" s="4"/>
      <c r="AI300" s="1403"/>
      <c r="AJ300" s="1403"/>
      <c r="AK300" s="1403"/>
    </row>
    <row r="301" spans="1:51" ht="12.95" customHeight="1">
      <c r="B301" s="3" t="s">
        <v>89</v>
      </c>
      <c r="C301" s="3"/>
      <c r="D301" s="3"/>
      <c r="E301" s="3"/>
      <c r="F301" s="3"/>
      <c r="G301" s="3"/>
      <c r="H301" s="1650" t="s">
        <v>590</v>
      </c>
      <c r="I301" s="1405"/>
      <c r="J301" s="1405"/>
      <c r="K301" s="1405"/>
      <c r="L301" s="1405"/>
      <c r="M301" s="1405"/>
      <c r="N301" s="4"/>
      <c r="O301" s="4"/>
      <c r="P301" s="35"/>
      <c r="Q301" s="35"/>
      <c r="R301" s="35"/>
      <c r="S301" s="3"/>
      <c r="T301" s="3" t="s">
        <v>89</v>
      </c>
      <c r="V301" s="3"/>
      <c r="W301" s="3"/>
      <c r="X301" s="3"/>
      <c r="Y301" s="3"/>
      <c r="AA301" s="1650" t="s">
        <v>590</v>
      </c>
      <c r="AB301" s="1405"/>
      <c r="AC301" s="1405"/>
      <c r="AD301" s="1405"/>
      <c r="AE301" s="1405"/>
      <c r="AF301" s="1405"/>
      <c r="AG301" s="4"/>
      <c r="AH301" s="4"/>
      <c r="AI301" s="35"/>
      <c r="AJ301" s="35"/>
      <c r="AK301" s="35"/>
    </row>
    <row r="302" spans="1:51" ht="12.95" customHeight="1">
      <c r="B302" s="3" t="s">
        <v>76</v>
      </c>
      <c r="C302" s="3"/>
      <c r="D302" s="3"/>
      <c r="E302" s="3"/>
      <c r="F302" s="3"/>
      <c r="G302" s="3"/>
      <c r="H302" s="1404" t="str">
        <f>M273</f>
        <v>aamensch@gmail.com</v>
      </c>
      <c r="I302" s="1404"/>
      <c r="J302" s="1404"/>
      <c r="K302" s="1404"/>
      <c r="L302" s="1404"/>
      <c r="M302" s="1404"/>
      <c r="N302" s="1377"/>
      <c r="O302" s="1377"/>
      <c r="P302" s="1377"/>
      <c r="Q302" s="1377"/>
      <c r="R302" s="1377"/>
      <c r="S302" s="3"/>
      <c r="T302" s="3" t="s">
        <v>76</v>
      </c>
      <c r="V302" s="3"/>
      <c r="W302" s="3"/>
      <c r="X302" s="3"/>
      <c r="Y302" s="3"/>
      <c r="AA302" s="1293" t="s">
        <v>2679</v>
      </c>
      <c r="AB302" s="1404"/>
      <c r="AC302" s="1404"/>
      <c r="AD302" s="1404"/>
      <c r="AE302" s="1404"/>
      <c r="AF302" s="1404"/>
      <c r="AG302" s="1377"/>
      <c r="AH302" s="1377"/>
      <c r="AI302" s="1377"/>
      <c r="AJ302" s="1377"/>
      <c r="AK302" s="1377"/>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423" t="s">
        <v>2754</v>
      </c>
      <c r="I304" s="1377"/>
      <c r="J304" s="1377"/>
      <c r="K304" s="1377"/>
      <c r="L304" s="1377"/>
      <c r="M304" s="1377"/>
      <c r="N304" s="1377"/>
      <c r="O304" s="1377"/>
      <c r="P304" s="1377"/>
      <c r="Q304" s="1377"/>
      <c r="R304" s="1377"/>
      <c r="T304" s="3" t="s">
        <v>364</v>
      </c>
      <c r="V304" s="3"/>
      <c r="W304" s="3"/>
      <c r="X304" s="3"/>
      <c r="Y304" s="3"/>
      <c r="AA304" s="1377" t="s">
        <v>2673</v>
      </c>
      <c r="AB304" s="1377"/>
      <c r="AC304" s="1377"/>
      <c r="AD304" s="1377"/>
      <c r="AE304" s="1377"/>
      <c r="AF304" s="1377"/>
      <c r="AG304" s="1377"/>
      <c r="AH304" s="1377"/>
      <c r="AI304" s="1377"/>
      <c r="AJ304" s="1377"/>
      <c r="AK304" s="1377"/>
    </row>
    <row r="305" spans="2:72" ht="12.95" customHeight="1">
      <c r="B305" s="3" t="s">
        <v>470</v>
      </c>
      <c r="C305" s="3"/>
      <c r="D305" s="3"/>
      <c r="E305" s="3"/>
      <c r="F305" s="3"/>
      <c r="H305" s="1293" t="s">
        <v>2755</v>
      </c>
      <c r="I305" s="1404"/>
      <c r="J305" s="1404"/>
      <c r="K305" s="1404"/>
      <c r="L305" s="1404"/>
      <c r="M305" s="1404"/>
      <c r="N305" s="1404"/>
      <c r="O305" s="1404"/>
      <c r="P305" s="1404"/>
      <c r="Q305" s="1404"/>
      <c r="R305" s="1404"/>
      <c r="T305" s="3" t="s">
        <v>470</v>
      </c>
      <c r="V305" s="3"/>
      <c r="W305" s="3"/>
      <c r="X305" s="3"/>
      <c r="Y305" s="3"/>
      <c r="AA305" s="1404" t="s">
        <v>2671</v>
      </c>
      <c r="AB305" s="1404"/>
      <c r="AC305" s="1404"/>
      <c r="AD305" s="1404"/>
      <c r="AE305" s="1404"/>
      <c r="AF305" s="1404"/>
      <c r="AG305" s="1404"/>
      <c r="AH305" s="1404"/>
      <c r="AI305" s="1404"/>
      <c r="AJ305" s="1404"/>
      <c r="AK305" s="1404"/>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293" t="s">
        <v>2756</v>
      </c>
      <c r="I306" s="1404"/>
      <c r="J306" s="1404"/>
      <c r="K306" s="1404"/>
      <c r="L306" s="1404"/>
      <c r="M306" s="1404"/>
      <c r="N306" s="1404"/>
      <c r="O306" s="1404"/>
      <c r="P306" s="1404"/>
      <c r="Q306" s="1404"/>
      <c r="R306" s="1404"/>
      <c r="T306" s="3" t="s">
        <v>75</v>
      </c>
      <c r="V306" s="3"/>
      <c r="W306" s="3"/>
      <c r="X306" s="3"/>
      <c r="Y306" s="3"/>
      <c r="AA306" s="1404" t="s">
        <v>2660</v>
      </c>
      <c r="AB306" s="1404"/>
      <c r="AC306" s="1404"/>
      <c r="AD306" s="1404"/>
      <c r="AE306" s="1404"/>
      <c r="AF306" s="1404"/>
      <c r="AG306" s="1404"/>
      <c r="AH306" s="1404"/>
      <c r="AI306" s="1404"/>
      <c r="AJ306" s="1404"/>
      <c r="AK306" s="1404"/>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293" t="s">
        <v>2757</v>
      </c>
      <c r="I307" s="1404"/>
      <c r="J307" s="1404"/>
      <c r="K307" s="1404"/>
      <c r="L307" s="1404"/>
      <c r="M307" s="1404"/>
      <c r="N307" s="1404"/>
      <c r="O307" s="1404"/>
      <c r="P307" s="1404"/>
      <c r="Q307" s="1404"/>
      <c r="R307" s="1404"/>
      <c r="T307" s="3" t="s">
        <v>87</v>
      </c>
      <c r="V307" s="3"/>
      <c r="W307" s="3"/>
      <c r="X307" s="3"/>
      <c r="Y307" s="3"/>
      <c r="AA307" s="1404" t="s">
        <v>2661</v>
      </c>
      <c r="AB307" s="1404"/>
      <c r="AC307" s="1404"/>
      <c r="AD307" s="1404"/>
      <c r="AE307" s="1404"/>
      <c r="AF307" s="1404"/>
      <c r="AG307" s="1404"/>
      <c r="AH307" s="1404"/>
      <c r="AI307" s="1404"/>
      <c r="AJ307" s="1404"/>
      <c r="AK307" s="1404"/>
    </row>
    <row r="308" spans="2:72" ht="12.95" customHeight="1">
      <c r="B308" s="3" t="s">
        <v>88</v>
      </c>
      <c r="C308" s="3"/>
      <c r="D308" s="3"/>
      <c r="E308" s="3"/>
      <c r="F308" s="3"/>
      <c r="G308" s="3"/>
      <c r="H308" s="1394">
        <v>2135577222</v>
      </c>
      <c r="I308" s="1394"/>
      <c r="J308" s="1394"/>
      <c r="K308" s="1394"/>
      <c r="L308" s="1394"/>
      <c r="M308" s="1394"/>
      <c r="N308" s="4" t="s">
        <v>206</v>
      </c>
      <c r="O308" s="4"/>
      <c r="P308" s="1403"/>
      <c r="Q308" s="1403"/>
      <c r="R308" s="1403"/>
      <c r="S308" s="3"/>
      <c r="T308" s="3" t="s">
        <v>88</v>
      </c>
      <c r="V308" s="3"/>
      <c r="W308" s="3"/>
      <c r="X308" s="3"/>
      <c r="Y308" s="3"/>
      <c r="AA308" s="1394">
        <v>8184160168</v>
      </c>
      <c r="AB308" s="1394"/>
      <c r="AC308" s="1394"/>
      <c r="AD308" s="1394"/>
      <c r="AE308" s="1394"/>
      <c r="AF308" s="1394"/>
      <c r="AG308" s="4" t="s">
        <v>206</v>
      </c>
      <c r="AH308" s="4"/>
      <c r="AI308" s="1403"/>
      <c r="AJ308" s="1403"/>
      <c r="AK308" s="1403"/>
    </row>
    <row r="309" spans="2:72" ht="12.95" customHeight="1">
      <c r="B309" s="3" t="s">
        <v>89</v>
      </c>
      <c r="C309" s="3"/>
      <c r="D309" s="3"/>
      <c r="E309" s="3"/>
      <c r="F309" s="3"/>
      <c r="G309" s="3"/>
      <c r="H309" s="1650" t="s">
        <v>590</v>
      </c>
      <c r="I309" s="1405"/>
      <c r="J309" s="1405"/>
      <c r="K309" s="1405"/>
      <c r="L309" s="1405"/>
      <c r="M309" s="1405"/>
      <c r="N309" s="4"/>
      <c r="O309" s="4"/>
      <c r="P309" s="35"/>
      <c r="Q309" s="35"/>
      <c r="R309" s="35"/>
      <c r="S309" s="3"/>
      <c r="T309" s="3" t="s">
        <v>89</v>
      </c>
      <c r="V309" s="3"/>
      <c r="W309" s="3"/>
      <c r="X309" s="3"/>
      <c r="Y309" s="3"/>
      <c r="AA309" s="1650" t="s">
        <v>590</v>
      </c>
      <c r="AB309" s="1405"/>
      <c r="AC309" s="1405"/>
      <c r="AD309" s="1405"/>
      <c r="AE309" s="1405"/>
      <c r="AF309" s="1405"/>
      <c r="AG309" s="4"/>
      <c r="AH309" s="4"/>
      <c r="AI309" s="35"/>
      <c r="AJ309" s="35"/>
      <c r="AK309" s="35"/>
    </row>
    <row r="310" spans="2:72" ht="12.95" customHeight="1">
      <c r="B310" s="3" t="s">
        <v>76</v>
      </c>
      <c r="C310" s="3"/>
      <c r="D310" s="3"/>
      <c r="E310" s="3"/>
      <c r="F310" s="3"/>
      <c r="G310" s="3"/>
      <c r="H310" s="1293" t="s">
        <v>2758</v>
      </c>
      <c r="I310" s="1404"/>
      <c r="J310" s="1404"/>
      <c r="K310" s="1404"/>
      <c r="L310" s="1404"/>
      <c r="M310" s="1404"/>
      <c r="N310" s="1377"/>
      <c r="O310" s="1377"/>
      <c r="P310" s="1377"/>
      <c r="Q310" s="1377"/>
      <c r="R310" s="1377"/>
      <c r="S310" s="3"/>
      <c r="T310" s="3" t="s">
        <v>76</v>
      </c>
      <c r="V310" s="3"/>
      <c r="W310" s="3"/>
      <c r="X310" s="3"/>
      <c r="Y310" s="3"/>
      <c r="AA310" s="1404" t="s">
        <v>2672</v>
      </c>
      <c r="AB310" s="1404"/>
      <c r="AC310" s="1404"/>
      <c r="AD310" s="1404"/>
      <c r="AE310" s="1404"/>
      <c r="AF310" s="1404"/>
      <c r="AG310" s="1377"/>
      <c r="AH310" s="1377"/>
      <c r="AI310" s="1377"/>
      <c r="AJ310" s="1377"/>
      <c r="AK310" s="1377"/>
    </row>
    <row r="311" spans="2:72" ht="12.95" customHeight="1"/>
    <row r="312" spans="2:72" ht="12.95" customHeight="1">
      <c r="B312" s="3" t="s">
        <v>77</v>
      </c>
      <c r="C312" s="3"/>
      <c r="D312" s="3"/>
      <c r="E312" s="3"/>
      <c r="F312" s="3"/>
      <c r="H312" s="1377" t="s">
        <v>2713</v>
      </c>
      <c r="I312" s="1377"/>
      <c r="J312" s="1377"/>
      <c r="K312" s="1377"/>
      <c r="L312" s="1377"/>
      <c r="M312" s="1377"/>
      <c r="N312" s="1377"/>
      <c r="O312" s="1377"/>
      <c r="P312" s="1377"/>
      <c r="Q312" s="1377"/>
      <c r="R312" s="1377"/>
      <c r="T312" s="4" t="s">
        <v>877</v>
      </c>
      <c r="V312" s="3"/>
      <c r="W312" s="3"/>
      <c r="X312" s="3"/>
      <c r="Y312" s="3"/>
      <c r="AA312" s="1377" t="s">
        <v>2713</v>
      </c>
      <c r="AB312" s="1377"/>
      <c r="AC312" s="1377"/>
      <c r="AD312" s="1377"/>
      <c r="AE312" s="1377"/>
      <c r="AF312" s="1377"/>
      <c r="AG312" s="1377"/>
      <c r="AH312" s="1377"/>
      <c r="AI312" s="1377"/>
      <c r="AJ312" s="1377"/>
      <c r="AK312" s="1377"/>
    </row>
    <row r="313" spans="2:72" ht="12.95" customHeight="1">
      <c r="B313" s="3" t="s">
        <v>470</v>
      </c>
      <c r="C313" s="3"/>
      <c r="D313" s="3"/>
      <c r="E313" s="3"/>
      <c r="F313" s="3"/>
      <c r="H313" s="1404" t="s">
        <v>590</v>
      </c>
      <c r="I313" s="1404"/>
      <c r="J313" s="1404"/>
      <c r="K313" s="1404"/>
      <c r="L313" s="1404"/>
      <c r="M313" s="1404"/>
      <c r="N313" s="1404"/>
      <c r="O313" s="1404"/>
      <c r="P313" s="1404"/>
      <c r="Q313" s="1404"/>
      <c r="R313" s="1404"/>
      <c r="T313" s="3" t="s">
        <v>470</v>
      </c>
      <c r="V313" s="3"/>
      <c r="W313" s="3"/>
      <c r="X313" s="3"/>
      <c r="Y313" s="3"/>
      <c r="AA313" s="1404" t="s">
        <v>590</v>
      </c>
      <c r="AB313" s="1404"/>
      <c r="AC313" s="1404"/>
      <c r="AD313" s="1404"/>
      <c r="AE313" s="1404"/>
      <c r="AF313" s="1404"/>
      <c r="AG313" s="1404"/>
      <c r="AH313" s="1404"/>
      <c r="AI313" s="1404"/>
      <c r="AJ313" s="1404"/>
      <c r="AK313" s="1404"/>
    </row>
    <row r="314" spans="2:72" ht="12.95" customHeight="1">
      <c r="B314" s="3" t="s">
        <v>471</v>
      </c>
      <c r="C314" s="3"/>
      <c r="D314" s="3"/>
      <c r="E314" s="3"/>
      <c r="F314" s="3"/>
      <c r="H314" s="1404" t="s">
        <v>590</v>
      </c>
      <c r="I314" s="1404"/>
      <c r="J314" s="1404"/>
      <c r="K314" s="1404"/>
      <c r="L314" s="1404"/>
      <c r="M314" s="1404"/>
      <c r="N314" s="1404"/>
      <c r="O314" s="1404"/>
      <c r="P314" s="1404"/>
      <c r="Q314" s="1404"/>
      <c r="R314" s="1404"/>
      <c r="T314" s="3" t="s">
        <v>75</v>
      </c>
      <c r="V314" s="3"/>
      <c r="W314" s="3"/>
      <c r="X314" s="3"/>
      <c r="Y314" s="3"/>
      <c r="AA314" s="1404" t="s">
        <v>590</v>
      </c>
      <c r="AB314" s="1404"/>
      <c r="AC314" s="1404"/>
      <c r="AD314" s="1404"/>
      <c r="AE314" s="1404"/>
      <c r="AF314" s="1404"/>
      <c r="AG314" s="1404"/>
      <c r="AH314" s="1404"/>
      <c r="AI314" s="1404"/>
      <c r="AJ314" s="1404"/>
      <c r="AK314" s="1404"/>
    </row>
    <row r="315" spans="2:72" ht="12.95" customHeight="1">
      <c r="B315" s="3" t="s">
        <v>87</v>
      </c>
      <c r="C315" s="3"/>
      <c r="D315" s="3"/>
      <c r="E315" s="3"/>
      <c r="F315" s="3"/>
      <c r="H315" s="1404" t="s">
        <v>590</v>
      </c>
      <c r="I315" s="1404"/>
      <c r="J315" s="1404"/>
      <c r="K315" s="1404"/>
      <c r="L315" s="1404"/>
      <c r="M315" s="1404"/>
      <c r="N315" s="1404"/>
      <c r="O315" s="1404"/>
      <c r="P315" s="1404"/>
      <c r="Q315" s="1404"/>
      <c r="R315" s="1404"/>
      <c r="T315" s="3" t="s">
        <v>87</v>
      </c>
      <c r="V315" s="3"/>
      <c r="W315" s="3"/>
      <c r="X315" s="3"/>
      <c r="Y315" s="3"/>
      <c r="AA315" s="1404" t="s">
        <v>590</v>
      </c>
      <c r="AB315" s="1404"/>
      <c r="AC315" s="1404"/>
      <c r="AD315" s="1404"/>
      <c r="AE315" s="1404"/>
      <c r="AF315" s="1404"/>
      <c r="AG315" s="1404"/>
      <c r="AH315" s="1404"/>
      <c r="AI315" s="1404"/>
      <c r="AJ315" s="1404"/>
      <c r="AK315" s="1404"/>
    </row>
    <row r="316" spans="2:72" ht="12.95" customHeight="1">
      <c r="B316" s="3" t="s">
        <v>88</v>
      </c>
      <c r="C316" s="3"/>
      <c r="D316" s="3"/>
      <c r="E316" s="3"/>
      <c r="F316" s="3"/>
      <c r="G316" s="3"/>
      <c r="H316" s="1683" t="s">
        <v>590</v>
      </c>
      <c r="I316" s="1394"/>
      <c r="J316" s="1394"/>
      <c r="K316" s="1394"/>
      <c r="L316" s="1394"/>
      <c r="M316" s="1394"/>
      <c r="N316" s="4" t="s">
        <v>206</v>
      </c>
      <c r="O316" s="4"/>
      <c r="P316" s="1403"/>
      <c r="Q316" s="1403"/>
      <c r="R316" s="1403"/>
      <c r="S316" s="3"/>
      <c r="T316" s="3" t="s">
        <v>88</v>
      </c>
      <c r="V316" s="3"/>
      <c r="W316" s="3"/>
      <c r="X316" s="3"/>
      <c r="Y316" s="3"/>
      <c r="AA316" s="1683" t="s">
        <v>590</v>
      </c>
      <c r="AB316" s="1394"/>
      <c r="AC316" s="1394"/>
      <c r="AD316" s="1394"/>
      <c r="AE316" s="1394"/>
      <c r="AF316" s="1394"/>
      <c r="AG316" s="4" t="s">
        <v>206</v>
      </c>
      <c r="AH316" s="4"/>
      <c r="AI316" s="1403"/>
      <c r="AJ316" s="1403"/>
      <c r="AK316" s="1403"/>
    </row>
    <row r="317" spans="2:72" ht="12.95" customHeight="1">
      <c r="B317" s="3" t="s">
        <v>89</v>
      </c>
      <c r="C317" s="3"/>
      <c r="D317" s="3"/>
      <c r="E317" s="3"/>
      <c r="F317" s="3"/>
      <c r="G317" s="3"/>
      <c r="H317" s="1650" t="s">
        <v>590</v>
      </c>
      <c r="I317" s="1405"/>
      <c r="J317" s="1405"/>
      <c r="K317" s="1405"/>
      <c r="L317" s="1405"/>
      <c r="M317" s="1405"/>
      <c r="N317" s="4"/>
      <c r="O317" s="4"/>
      <c r="P317" s="35"/>
      <c r="Q317" s="35"/>
      <c r="R317" s="35"/>
      <c r="S317" s="3"/>
      <c r="T317" s="3" t="s">
        <v>89</v>
      </c>
      <c r="V317" s="3"/>
      <c r="W317" s="3"/>
      <c r="X317" s="3"/>
      <c r="Y317" s="3"/>
      <c r="AA317" s="1650" t="s">
        <v>590</v>
      </c>
      <c r="AB317" s="1405"/>
      <c r="AC317" s="1405"/>
      <c r="AD317" s="1405"/>
      <c r="AE317" s="1405"/>
      <c r="AF317" s="1405"/>
      <c r="AG317" s="4"/>
      <c r="AH317" s="4"/>
      <c r="AI317" s="35"/>
      <c r="AJ317" s="35"/>
      <c r="AK317" s="35"/>
    </row>
    <row r="318" spans="2:72" ht="12.95" customHeight="1">
      <c r="B318" s="3" t="s">
        <v>76</v>
      </c>
      <c r="C318" s="3"/>
      <c r="D318" s="3"/>
      <c r="E318" s="3"/>
      <c r="F318" s="3"/>
      <c r="G318" s="3"/>
      <c r="H318" s="1404" t="s">
        <v>590</v>
      </c>
      <c r="I318" s="1404"/>
      <c r="J318" s="1404"/>
      <c r="K318" s="1404"/>
      <c r="L318" s="1404"/>
      <c r="M318" s="1404"/>
      <c r="N318" s="1377"/>
      <c r="O318" s="1377"/>
      <c r="P318" s="1377"/>
      <c r="Q318" s="1377"/>
      <c r="R318" s="1377"/>
      <c r="S318" s="3"/>
      <c r="T318" s="3" t="s">
        <v>76</v>
      </c>
      <c r="V318" s="3"/>
      <c r="W318" s="3"/>
      <c r="X318" s="3"/>
      <c r="Y318" s="3"/>
      <c r="AA318" s="1404" t="s">
        <v>590</v>
      </c>
      <c r="AB318" s="1404"/>
      <c r="AC318" s="1404"/>
      <c r="AD318" s="1404"/>
      <c r="AE318" s="1404"/>
      <c r="AF318" s="1404"/>
      <c r="AG318" s="1377"/>
      <c r="AH318" s="1377"/>
      <c r="AI318" s="1377"/>
      <c r="AJ318" s="1377"/>
      <c r="AK318" s="1377"/>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377" t="s">
        <v>2777</v>
      </c>
      <c r="I320" s="1377"/>
      <c r="J320" s="1377"/>
      <c r="K320" s="1377"/>
      <c r="L320" s="1377"/>
      <c r="M320" s="1377"/>
      <c r="N320" s="1377"/>
      <c r="O320" s="1377"/>
      <c r="P320" s="1377"/>
      <c r="Q320" s="1377"/>
      <c r="R320" s="1377"/>
      <c r="S320" s="3"/>
      <c r="T320" s="3" t="s">
        <v>365</v>
      </c>
      <c r="V320" s="3"/>
      <c r="W320" s="3"/>
      <c r="X320" s="3"/>
      <c r="Y320" s="3"/>
      <c r="AA320" s="1423" t="s">
        <v>2665</v>
      </c>
      <c r="AB320" s="1377"/>
      <c r="AC320" s="1377"/>
      <c r="AD320" s="1377"/>
      <c r="AE320" s="1377"/>
      <c r="AF320" s="1377"/>
      <c r="AG320" s="1377"/>
      <c r="AH320" s="1377"/>
      <c r="AI320" s="1377"/>
      <c r="AJ320" s="1377"/>
      <c r="AK320" s="1377"/>
    </row>
    <row r="321" spans="2:37" ht="12.95" customHeight="1">
      <c r="B321" s="3" t="s">
        <v>470</v>
      </c>
      <c r="C321" s="3"/>
      <c r="D321" s="3"/>
      <c r="E321" s="3"/>
      <c r="F321" s="3"/>
      <c r="H321" s="1404" t="s">
        <v>2771</v>
      </c>
      <c r="I321" s="1404"/>
      <c r="J321" s="1404"/>
      <c r="K321" s="1404"/>
      <c r="L321" s="1404"/>
      <c r="M321" s="1404"/>
      <c r="N321" s="1404"/>
      <c r="O321" s="1404"/>
      <c r="P321" s="1404"/>
      <c r="Q321" s="1404"/>
      <c r="R321" s="1404"/>
      <c r="S321" s="3"/>
      <c r="T321" s="3" t="s">
        <v>470</v>
      </c>
      <c r="V321" s="3"/>
      <c r="W321" s="3"/>
      <c r="X321" s="3"/>
      <c r="Y321" s="3"/>
      <c r="AA321" s="1293" t="s">
        <v>2682</v>
      </c>
      <c r="AB321" s="1404"/>
      <c r="AC321" s="1404"/>
      <c r="AD321" s="1404"/>
      <c r="AE321" s="1404"/>
      <c r="AF321" s="1404"/>
      <c r="AG321" s="1404"/>
      <c r="AH321" s="1404"/>
      <c r="AI321" s="1404"/>
      <c r="AJ321" s="1404"/>
      <c r="AK321" s="1404"/>
    </row>
    <row r="322" spans="2:37" ht="12.95" customHeight="1">
      <c r="B322" s="3" t="s">
        <v>471</v>
      </c>
      <c r="C322" s="3"/>
      <c r="D322" s="3"/>
      <c r="E322" s="3"/>
      <c r="F322" s="3"/>
      <c r="H322" s="1404" t="s">
        <v>2772</v>
      </c>
      <c r="I322" s="1404"/>
      <c r="J322" s="1404"/>
      <c r="K322" s="1404"/>
      <c r="L322" s="1404"/>
      <c r="M322" s="1404"/>
      <c r="N322" s="1404"/>
      <c r="O322" s="1404"/>
      <c r="P322" s="1404"/>
      <c r="Q322" s="1404"/>
      <c r="R322" s="1404"/>
      <c r="S322" s="3"/>
      <c r="T322" s="3" t="s">
        <v>75</v>
      </c>
      <c r="V322" s="3"/>
      <c r="W322" s="3"/>
      <c r="X322" s="3"/>
      <c r="Y322" s="3"/>
      <c r="AA322" s="1293" t="s">
        <v>2683</v>
      </c>
      <c r="AB322" s="1404"/>
      <c r="AC322" s="1404"/>
      <c r="AD322" s="1404"/>
      <c r="AE322" s="1404"/>
      <c r="AF322" s="1404"/>
      <c r="AG322" s="1404"/>
      <c r="AH322" s="1404"/>
      <c r="AI322" s="1404"/>
      <c r="AJ322" s="1404"/>
      <c r="AK322" s="1404"/>
    </row>
    <row r="323" spans="2:37" ht="12.95" customHeight="1">
      <c r="B323" s="3" t="s">
        <v>87</v>
      </c>
      <c r="C323" s="3"/>
      <c r="D323" s="3"/>
      <c r="E323" s="3"/>
      <c r="F323" s="3"/>
      <c r="H323" s="1404" t="s">
        <v>2773</v>
      </c>
      <c r="I323" s="1404"/>
      <c r="J323" s="1404"/>
      <c r="K323" s="1404"/>
      <c r="L323" s="1404"/>
      <c r="M323" s="1404"/>
      <c r="N323" s="1404"/>
      <c r="O323" s="1404"/>
      <c r="P323" s="1404"/>
      <c r="Q323" s="1404"/>
      <c r="R323" s="1404"/>
      <c r="S323" s="3"/>
      <c r="T323" s="3" t="s">
        <v>87</v>
      </c>
      <c r="V323" s="3"/>
      <c r="W323" s="3"/>
      <c r="X323" s="3"/>
      <c r="Y323" s="3"/>
      <c r="AA323" s="1293" t="s">
        <v>2668</v>
      </c>
      <c r="AB323" s="1404"/>
      <c r="AC323" s="1404"/>
      <c r="AD323" s="1404"/>
      <c r="AE323" s="1404"/>
      <c r="AF323" s="1404"/>
      <c r="AG323" s="1404"/>
      <c r="AH323" s="1404"/>
      <c r="AI323" s="1404"/>
      <c r="AJ323" s="1404"/>
      <c r="AK323" s="1404"/>
    </row>
    <row r="324" spans="2:37" ht="12.95" customHeight="1">
      <c r="B324" s="3" t="s">
        <v>88</v>
      </c>
      <c r="C324" s="3"/>
      <c r="D324" s="3"/>
      <c r="E324" s="3"/>
      <c r="F324" s="3"/>
      <c r="G324" s="3"/>
      <c r="H324" s="1683">
        <v>3178196233</v>
      </c>
      <c r="I324" s="1394"/>
      <c r="J324" s="1394"/>
      <c r="K324" s="1394"/>
      <c r="L324" s="1394"/>
      <c r="M324" s="1394"/>
      <c r="N324" s="4" t="s">
        <v>206</v>
      </c>
      <c r="O324" s="4"/>
      <c r="P324" s="1403"/>
      <c r="Q324" s="1403"/>
      <c r="R324" s="1403"/>
      <c r="S324" s="3"/>
      <c r="T324" s="3" t="s">
        <v>88</v>
      </c>
      <c r="V324" s="3"/>
      <c r="W324" s="3"/>
      <c r="X324" s="3"/>
      <c r="Y324" s="3"/>
      <c r="AA324" s="1394">
        <v>9494381056</v>
      </c>
      <c r="AB324" s="1394"/>
      <c r="AC324" s="1394"/>
      <c r="AD324" s="1394"/>
      <c r="AE324" s="1394"/>
      <c r="AF324" s="1394"/>
      <c r="AG324" s="4" t="s">
        <v>206</v>
      </c>
      <c r="AH324" s="4"/>
      <c r="AI324" s="1403"/>
      <c r="AJ324" s="1403"/>
      <c r="AK324" s="1403"/>
    </row>
    <row r="325" spans="2:37" ht="12.95" customHeight="1">
      <c r="B325" s="3" t="s">
        <v>89</v>
      </c>
      <c r="C325" s="3"/>
      <c r="D325" s="3"/>
      <c r="E325" s="3"/>
      <c r="F325" s="3"/>
      <c r="G325" s="3"/>
      <c r="H325" s="1650" t="s">
        <v>590</v>
      </c>
      <c r="I325" s="1405"/>
      <c r="J325" s="1405"/>
      <c r="K325" s="1405"/>
      <c r="L325" s="1405"/>
      <c r="M325" s="1405"/>
      <c r="N325" s="4"/>
      <c r="O325" s="4"/>
      <c r="P325" s="35"/>
      <c r="Q325" s="35"/>
      <c r="R325" s="35"/>
      <c r="S325" s="3"/>
      <c r="T325" s="3" t="s">
        <v>89</v>
      </c>
      <c r="V325" s="3"/>
      <c r="W325" s="3"/>
      <c r="X325" s="3"/>
      <c r="Y325" s="3"/>
      <c r="AA325" s="1650" t="s">
        <v>590</v>
      </c>
      <c r="AB325" s="1405"/>
      <c r="AC325" s="1405"/>
      <c r="AD325" s="1405"/>
      <c r="AE325" s="1405"/>
      <c r="AF325" s="1405"/>
      <c r="AG325" s="4"/>
      <c r="AH325" s="4"/>
      <c r="AI325" s="35"/>
      <c r="AJ325" s="35"/>
      <c r="AK325" s="35"/>
    </row>
    <row r="326" spans="2:37" ht="12.95" customHeight="1">
      <c r="B326" s="3" t="s">
        <v>76</v>
      </c>
      <c r="C326" s="3"/>
      <c r="D326" s="3"/>
      <c r="E326" s="3"/>
      <c r="F326" s="3"/>
      <c r="G326" s="3"/>
      <c r="H326" s="1404" t="s">
        <v>2774</v>
      </c>
      <c r="I326" s="1404"/>
      <c r="J326" s="1404"/>
      <c r="K326" s="1404"/>
      <c r="L326" s="1404"/>
      <c r="M326" s="1404"/>
      <c r="N326" s="1377"/>
      <c r="O326" s="1377"/>
      <c r="P326" s="1377"/>
      <c r="Q326" s="1377"/>
      <c r="R326" s="1377"/>
      <c r="S326" s="3"/>
      <c r="T326" s="3" t="s">
        <v>76</v>
      </c>
      <c r="V326" s="3"/>
      <c r="W326" s="3"/>
      <c r="X326" s="3"/>
      <c r="Y326" s="3"/>
      <c r="AA326" s="1293" t="s">
        <v>2681</v>
      </c>
      <c r="AB326" s="1404"/>
      <c r="AC326" s="1404"/>
      <c r="AD326" s="1404"/>
      <c r="AE326" s="1404"/>
      <c r="AF326" s="1404"/>
      <c r="AG326" s="1377"/>
      <c r="AH326" s="1377"/>
      <c r="AI326" s="1377"/>
      <c r="AJ326" s="1377"/>
      <c r="AK326" s="1377"/>
    </row>
    <row r="327" spans="2:37" ht="12.95" customHeight="1"/>
    <row r="328" spans="2:37" ht="12.95" customHeight="1">
      <c r="B328" s="4" t="s">
        <v>907</v>
      </c>
      <c r="C328" s="3"/>
      <c r="D328" s="3"/>
      <c r="E328" s="3"/>
      <c r="F328" s="3"/>
      <c r="H328" s="1377" t="str">
        <f>L283</f>
        <v>Kingdom Development, Inc.</v>
      </c>
      <c r="I328" s="1377"/>
      <c r="J328" s="1377"/>
      <c r="K328" s="1377"/>
      <c r="L328" s="1377"/>
      <c r="M328" s="1377"/>
      <c r="N328" s="1377"/>
      <c r="O328" s="1377"/>
      <c r="P328" s="1377"/>
      <c r="Q328" s="1377"/>
      <c r="R328" s="1377"/>
      <c r="T328" s="3" t="s">
        <v>366</v>
      </c>
      <c r="V328" s="3"/>
      <c r="W328" s="3"/>
      <c r="X328" s="3"/>
      <c r="Y328" s="3"/>
      <c r="AA328" s="1423" t="s">
        <v>2731</v>
      </c>
      <c r="AB328" s="1377"/>
      <c r="AC328" s="1377"/>
      <c r="AD328" s="1377"/>
      <c r="AE328" s="1377"/>
      <c r="AF328" s="1377"/>
      <c r="AG328" s="1377"/>
      <c r="AH328" s="1377"/>
      <c r="AI328" s="1377"/>
      <c r="AJ328" s="1377"/>
      <c r="AK328" s="1377"/>
    </row>
    <row r="329" spans="2:37" ht="12.95" customHeight="1">
      <c r="B329" s="3" t="s">
        <v>470</v>
      </c>
      <c r="C329" s="3"/>
      <c r="D329" s="3"/>
      <c r="E329" s="3"/>
      <c r="F329" s="3"/>
      <c r="H329" s="1404" t="str">
        <f>L284</f>
        <v>6451 Box Springs Blvd.</v>
      </c>
      <c r="I329" s="1404"/>
      <c r="J329" s="1404"/>
      <c r="K329" s="1404"/>
      <c r="L329" s="1404"/>
      <c r="M329" s="1404"/>
      <c r="N329" s="1404"/>
      <c r="O329" s="1404"/>
      <c r="P329" s="1404"/>
      <c r="Q329" s="1404"/>
      <c r="R329" s="1404"/>
      <c r="T329" s="3" t="s">
        <v>470</v>
      </c>
      <c r="V329" s="3"/>
      <c r="W329" s="3"/>
      <c r="X329" s="3"/>
      <c r="Y329" s="3"/>
      <c r="AA329" s="1293" t="s">
        <v>2732</v>
      </c>
      <c r="AB329" s="1404"/>
      <c r="AC329" s="1404"/>
      <c r="AD329" s="1404"/>
      <c r="AE329" s="1404"/>
      <c r="AF329" s="1404"/>
      <c r="AG329" s="1404"/>
      <c r="AH329" s="1404"/>
      <c r="AI329" s="1404"/>
      <c r="AJ329" s="1404"/>
      <c r="AK329" s="1404"/>
    </row>
    <row r="330" spans="2:37" ht="12.95" customHeight="1">
      <c r="B330" s="3" t="s">
        <v>471</v>
      </c>
      <c r="C330" s="3"/>
      <c r="D330" s="3"/>
      <c r="E330" s="3"/>
      <c r="F330" s="3"/>
      <c r="H330" s="1404" t="s">
        <v>2646</v>
      </c>
      <c r="I330" s="1404"/>
      <c r="J330" s="1404"/>
      <c r="K330" s="1404"/>
      <c r="L330" s="1404"/>
      <c r="M330" s="1404"/>
      <c r="N330" s="1404"/>
      <c r="O330" s="1404"/>
      <c r="P330" s="1404"/>
      <c r="Q330" s="1404"/>
      <c r="R330" s="1404"/>
      <c r="T330" s="3" t="s">
        <v>75</v>
      </c>
      <c r="V330" s="3"/>
      <c r="W330" s="3"/>
      <c r="X330" s="3"/>
      <c r="Y330" s="3"/>
      <c r="AA330" s="1293" t="s">
        <v>2733</v>
      </c>
      <c r="AB330" s="1404"/>
      <c r="AC330" s="1404"/>
      <c r="AD330" s="1404"/>
      <c r="AE330" s="1404"/>
      <c r="AF330" s="1404"/>
      <c r="AG330" s="1404"/>
      <c r="AH330" s="1404"/>
      <c r="AI330" s="1404"/>
      <c r="AJ330" s="1404"/>
      <c r="AK330" s="1404"/>
    </row>
    <row r="331" spans="2:37" ht="12.95" customHeight="1">
      <c r="B331" s="3" t="s">
        <v>87</v>
      </c>
      <c r="C331" s="3"/>
      <c r="D331" s="3"/>
      <c r="E331" s="3"/>
      <c r="F331" s="3"/>
      <c r="H331" s="1404" t="str">
        <f>L286</f>
        <v>William Leach</v>
      </c>
      <c r="I331" s="1404"/>
      <c r="J331" s="1404"/>
      <c r="K331" s="1404"/>
      <c r="L331" s="1404"/>
      <c r="M331" s="1404"/>
      <c r="N331" s="1404"/>
      <c r="O331" s="1404"/>
      <c r="P331" s="1404"/>
      <c r="Q331" s="1404"/>
      <c r="R331" s="1404"/>
      <c r="T331" s="3" t="s">
        <v>87</v>
      </c>
      <c r="V331" s="3"/>
      <c r="W331" s="3"/>
      <c r="X331" s="3"/>
      <c r="Y331" s="3"/>
      <c r="AA331" s="1293" t="s">
        <v>2734</v>
      </c>
      <c r="AB331" s="1404"/>
      <c r="AC331" s="1404"/>
      <c r="AD331" s="1404"/>
      <c r="AE331" s="1404"/>
      <c r="AF331" s="1404"/>
      <c r="AG331" s="1404"/>
      <c r="AH331" s="1404"/>
      <c r="AI331" s="1404"/>
      <c r="AJ331" s="1404"/>
      <c r="AK331" s="1404"/>
    </row>
    <row r="332" spans="2:37" ht="12.95" customHeight="1">
      <c r="B332" s="3" t="s">
        <v>88</v>
      </c>
      <c r="C332" s="3"/>
      <c r="D332" s="3"/>
      <c r="E332" s="3"/>
      <c r="F332" s="3"/>
      <c r="G332" s="3"/>
      <c r="H332" s="1394">
        <f>L287</f>
        <v>9515386244</v>
      </c>
      <c r="I332" s="1394"/>
      <c r="J332" s="1394"/>
      <c r="K332" s="1394"/>
      <c r="L332" s="1394"/>
      <c r="M332" s="1394"/>
      <c r="N332" s="4" t="s">
        <v>206</v>
      </c>
      <c r="O332" s="4"/>
      <c r="P332" s="1403"/>
      <c r="Q332" s="1403"/>
      <c r="R332" s="1403"/>
      <c r="S332" s="3"/>
      <c r="T332" s="3" t="s">
        <v>88</v>
      </c>
      <c r="V332" s="3"/>
      <c r="W332" s="3"/>
      <c r="X332" s="3"/>
      <c r="Y332" s="3"/>
      <c r="AA332" s="1394">
        <v>4022020771</v>
      </c>
      <c r="AB332" s="1394"/>
      <c r="AC332" s="1394"/>
      <c r="AD332" s="1394"/>
      <c r="AE332" s="1394"/>
      <c r="AF332" s="1394"/>
      <c r="AG332" s="4" t="s">
        <v>206</v>
      </c>
      <c r="AH332" s="4"/>
      <c r="AI332" s="1403"/>
      <c r="AJ332" s="1403"/>
      <c r="AK332" s="1403"/>
    </row>
    <row r="333" spans="2:37" ht="12.95" customHeight="1">
      <c r="B333" s="3" t="s">
        <v>89</v>
      </c>
      <c r="C333" s="3"/>
      <c r="D333" s="3"/>
      <c r="E333" s="3"/>
      <c r="F333" s="3"/>
      <c r="G333" s="3"/>
      <c r="H333" s="1650" t="s">
        <v>590</v>
      </c>
      <c r="I333" s="1405"/>
      <c r="J333" s="1405"/>
      <c r="K333" s="1405"/>
      <c r="L333" s="1405"/>
      <c r="M333" s="1405"/>
      <c r="N333" s="4"/>
      <c r="O333" s="4"/>
      <c r="P333" s="35"/>
      <c r="Q333" s="35"/>
      <c r="R333" s="35"/>
      <c r="S333" s="3"/>
      <c r="T333" s="3" t="s">
        <v>89</v>
      </c>
      <c r="V333" s="3"/>
      <c r="W333" s="3"/>
      <c r="X333" s="3"/>
      <c r="Y333" s="3"/>
      <c r="AA333" s="1650" t="s">
        <v>590</v>
      </c>
      <c r="AB333" s="1405"/>
      <c r="AC333" s="1405"/>
      <c r="AD333" s="1405"/>
      <c r="AE333" s="1405"/>
      <c r="AF333" s="1405"/>
      <c r="AG333" s="4"/>
      <c r="AH333" s="4"/>
      <c r="AI333" s="35"/>
      <c r="AJ333" s="35"/>
      <c r="AK333" s="35"/>
    </row>
    <row r="334" spans="2:37" ht="12.95" customHeight="1">
      <c r="B334" s="3" t="s">
        <v>76</v>
      </c>
      <c r="C334" s="3"/>
      <c r="D334" s="3"/>
      <c r="E334" s="3"/>
      <c r="F334" s="3"/>
      <c r="G334" s="3"/>
      <c r="H334" s="1404" t="str">
        <f>L288</f>
        <v>William@kingdomdevelopment.net</v>
      </c>
      <c r="I334" s="1404"/>
      <c r="J334" s="1404"/>
      <c r="K334" s="1404"/>
      <c r="L334" s="1404"/>
      <c r="M334" s="1404"/>
      <c r="N334" s="1377"/>
      <c r="O334" s="1377"/>
      <c r="P334" s="1377"/>
      <c r="Q334" s="1377"/>
      <c r="R334" s="1377"/>
      <c r="S334" s="3"/>
      <c r="T334" s="3" t="s">
        <v>76</v>
      </c>
      <c r="V334" s="3"/>
      <c r="W334" s="3"/>
      <c r="X334" s="3"/>
      <c r="Y334" s="3"/>
      <c r="AA334" s="1293" t="s">
        <v>2735</v>
      </c>
      <c r="AB334" s="1404"/>
      <c r="AC334" s="1404"/>
      <c r="AD334" s="1404"/>
      <c r="AE334" s="1404"/>
      <c r="AF334" s="1404"/>
      <c r="AG334" s="1377"/>
      <c r="AH334" s="1377"/>
      <c r="AI334" s="1377"/>
      <c r="AJ334" s="1377"/>
      <c r="AK334" s="1377"/>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377" t="s">
        <v>590</v>
      </c>
      <c r="I336" s="1377"/>
      <c r="J336" s="1377"/>
      <c r="K336" s="1377"/>
      <c r="L336" s="1377"/>
      <c r="M336" s="1377"/>
      <c r="N336" s="1377"/>
      <c r="O336" s="1377"/>
      <c r="P336" s="1377"/>
      <c r="Q336" s="1377"/>
      <c r="R336" s="1377"/>
      <c r="T336" s="3" t="s">
        <v>368</v>
      </c>
      <c r="V336" s="3"/>
      <c r="W336" s="3"/>
      <c r="X336" s="3"/>
      <c r="Y336" s="3"/>
      <c r="AA336" s="1377" t="s">
        <v>590</v>
      </c>
      <c r="AB336" s="1377"/>
      <c r="AC336" s="1377"/>
      <c r="AD336" s="1377"/>
      <c r="AE336" s="1377"/>
      <c r="AF336" s="1377"/>
      <c r="AG336" s="1377"/>
      <c r="AH336" s="1377"/>
      <c r="AI336" s="1377"/>
      <c r="AJ336" s="1377"/>
      <c r="AK336" s="1377"/>
    </row>
    <row r="337" spans="2:66" ht="12.95" customHeight="1">
      <c r="B337" s="3" t="s">
        <v>470</v>
      </c>
      <c r="C337" s="3"/>
      <c r="D337" s="3"/>
      <c r="E337" s="3"/>
      <c r="F337" s="3"/>
      <c r="H337" s="1404" t="s">
        <v>590</v>
      </c>
      <c r="I337" s="1404"/>
      <c r="J337" s="1404"/>
      <c r="K337" s="1404"/>
      <c r="L337" s="1404"/>
      <c r="M337" s="1404"/>
      <c r="N337" s="1404"/>
      <c r="O337" s="1404"/>
      <c r="P337" s="1404"/>
      <c r="Q337" s="1404"/>
      <c r="R337" s="1404"/>
      <c r="T337" s="3" t="s">
        <v>470</v>
      </c>
      <c r="V337" s="3"/>
      <c r="W337" s="3"/>
      <c r="X337" s="3"/>
      <c r="Y337" s="3"/>
      <c r="AA337" s="1404" t="s">
        <v>590</v>
      </c>
      <c r="AB337" s="1404"/>
      <c r="AC337" s="1404"/>
      <c r="AD337" s="1404"/>
      <c r="AE337" s="1404"/>
      <c r="AF337" s="1404"/>
      <c r="AG337" s="1404"/>
      <c r="AH337" s="1404"/>
      <c r="AI337" s="1404"/>
      <c r="AJ337" s="1404"/>
      <c r="AK337" s="1404"/>
    </row>
    <row r="338" spans="2:66" ht="12.95" customHeight="1">
      <c r="B338" s="3" t="s">
        <v>471</v>
      </c>
      <c r="C338" s="3"/>
      <c r="D338" s="3"/>
      <c r="E338" s="3"/>
      <c r="F338" s="3"/>
      <c r="H338" s="1404" t="s">
        <v>590</v>
      </c>
      <c r="I338" s="1404"/>
      <c r="J338" s="1404"/>
      <c r="K338" s="1404"/>
      <c r="L338" s="1404"/>
      <c r="M338" s="1404"/>
      <c r="N338" s="1404"/>
      <c r="O338" s="1404"/>
      <c r="P338" s="1404"/>
      <c r="Q338" s="1404"/>
      <c r="R338" s="1404"/>
      <c r="T338" s="3" t="s">
        <v>75</v>
      </c>
      <c r="V338" s="3"/>
      <c r="W338" s="3"/>
      <c r="X338" s="3"/>
      <c r="Y338" s="3"/>
      <c r="AA338" s="1404" t="s">
        <v>590</v>
      </c>
      <c r="AB338" s="1404"/>
      <c r="AC338" s="1404"/>
      <c r="AD338" s="1404"/>
      <c r="AE338" s="1404"/>
      <c r="AF338" s="1404"/>
      <c r="AG338" s="1404"/>
      <c r="AH338" s="1404"/>
      <c r="AI338" s="1404"/>
      <c r="AJ338" s="1404"/>
      <c r="AK338" s="1404"/>
    </row>
    <row r="339" spans="2:66" ht="12.95" customHeight="1">
      <c r="B339" s="3" t="s">
        <v>87</v>
      </c>
      <c r="C339" s="3"/>
      <c r="D339" s="3"/>
      <c r="E339" s="3"/>
      <c r="F339" s="3"/>
      <c r="H339" s="1404" t="s">
        <v>590</v>
      </c>
      <c r="I339" s="1404"/>
      <c r="J339" s="1404"/>
      <c r="K339" s="1404"/>
      <c r="L339" s="1404"/>
      <c r="M339" s="1404"/>
      <c r="N339" s="1404"/>
      <c r="O339" s="1404"/>
      <c r="P339" s="1404"/>
      <c r="Q339" s="1404"/>
      <c r="R339" s="1404"/>
      <c r="T339" s="3" t="s">
        <v>87</v>
      </c>
      <c r="V339" s="3"/>
      <c r="W339" s="3"/>
      <c r="X339" s="3"/>
      <c r="Y339" s="3"/>
      <c r="AA339" s="1404" t="s">
        <v>590</v>
      </c>
      <c r="AB339" s="1404"/>
      <c r="AC339" s="1404"/>
      <c r="AD339" s="1404"/>
      <c r="AE339" s="1404"/>
      <c r="AF339" s="1404"/>
      <c r="AG339" s="1404"/>
      <c r="AH339" s="1404"/>
      <c r="AI339" s="1404"/>
      <c r="AJ339" s="1404"/>
      <c r="AK339" s="1404"/>
    </row>
    <row r="340" spans="2:66" ht="12.95" customHeight="1">
      <c r="B340" s="3" t="s">
        <v>88</v>
      </c>
      <c r="C340" s="3"/>
      <c r="D340" s="3"/>
      <c r="E340" s="3"/>
      <c r="F340" s="3"/>
      <c r="G340" s="3"/>
      <c r="H340" s="1683" t="s">
        <v>590</v>
      </c>
      <c r="I340" s="1394"/>
      <c r="J340" s="1394"/>
      <c r="K340" s="1394"/>
      <c r="L340" s="1394"/>
      <c r="M340" s="1394"/>
      <c r="N340" s="4" t="s">
        <v>206</v>
      </c>
      <c r="O340" s="4"/>
      <c r="P340" s="1403"/>
      <c r="Q340" s="1403"/>
      <c r="R340" s="1403"/>
      <c r="S340" s="3"/>
      <c r="T340" s="3" t="s">
        <v>88</v>
      </c>
      <c r="V340" s="3"/>
      <c r="W340" s="3"/>
      <c r="X340" s="3"/>
      <c r="Y340" s="3"/>
      <c r="AA340" s="1683" t="s">
        <v>590</v>
      </c>
      <c r="AB340" s="1394"/>
      <c r="AC340" s="1394"/>
      <c r="AD340" s="1394"/>
      <c r="AE340" s="1394"/>
      <c r="AF340" s="1394"/>
      <c r="AG340" s="4" t="s">
        <v>206</v>
      </c>
      <c r="AH340" s="4"/>
      <c r="AI340" s="1403"/>
      <c r="AJ340" s="1403"/>
      <c r="AK340" s="1403"/>
    </row>
    <row r="341" spans="2:66" ht="12.95" customHeight="1">
      <c r="B341" s="3" t="s">
        <v>89</v>
      </c>
      <c r="C341" s="3"/>
      <c r="D341" s="3"/>
      <c r="E341" s="3"/>
      <c r="F341" s="3"/>
      <c r="G341" s="3"/>
      <c r="H341" s="1650" t="s">
        <v>590</v>
      </c>
      <c r="I341" s="1405"/>
      <c r="J341" s="1405"/>
      <c r="K341" s="1405"/>
      <c r="L341" s="1405"/>
      <c r="M341" s="1405"/>
      <c r="N341" s="4"/>
      <c r="O341" s="4"/>
      <c r="P341" s="35"/>
      <c r="Q341" s="35"/>
      <c r="R341" s="35"/>
      <c r="S341" s="3"/>
      <c r="T341" s="3" t="s">
        <v>89</v>
      </c>
      <c r="V341" s="3"/>
      <c r="W341" s="3"/>
      <c r="X341" s="3"/>
      <c r="Y341" s="3"/>
      <c r="AA341" s="1650" t="s">
        <v>590</v>
      </c>
      <c r="AB341" s="1405"/>
      <c r="AC341" s="1405"/>
      <c r="AD341" s="1405"/>
      <c r="AE341" s="1405"/>
      <c r="AF341" s="1405"/>
      <c r="AG341" s="4"/>
      <c r="AH341" s="4"/>
      <c r="AI341" s="35"/>
      <c r="AJ341" s="35"/>
      <c r="AK341" s="35"/>
    </row>
    <row r="342" spans="2:66" ht="12.95" customHeight="1">
      <c r="B342" s="3" t="s">
        <v>76</v>
      </c>
      <c r="C342" s="3"/>
      <c r="D342" s="3"/>
      <c r="E342" s="3"/>
      <c r="F342" s="3"/>
      <c r="G342" s="3"/>
      <c r="H342" s="1404" t="s">
        <v>590</v>
      </c>
      <c r="I342" s="1404"/>
      <c r="J342" s="1404"/>
      <c r="K342" s="1404"/>
      <c r="L342" s="1404"/>
      <c r="M342" s="1404"/>
      <c r="N342" s="1377"/>
      <c r="O342" s="1377"/>
      <c r="P342" s="1377"/>
      <c r="Q342" s="1377"/>
      <c r="R342" s="1377"/>
      <c r="S342" s="3"/>
      <c r="T342" s="3" t="s">
        <v>76</v>
      </c>
      <c r="V342" s="3"/>
      <c r="W342" s="3"/>
      <c r="X342" s="3"/>
      <c r="Y342" s="3"/>
      <c r="AA342" s="1404" t="s">
        <v>590</v>
      </c>
      <c r="AB342" s="1404"/>
      <c r="AC342" s="1404"/>
      <c r="AD342" s="1404"/>
      <c r="AE342" s="1404"/>
      <c r="AF342" s="1404"/>
      <c r="AG342" s="1377"/>
      <c r="AH342" s="1377"/>
      <c r="AI342" s="1377"/>
      <c r="AJ342" s="1377"/>
      <c r="AK342" s="1377"/>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377" t="s">
        <v>2685</v>
      </c>
      <c r="I344" s="1377"/>
      <c r="J344" s="1377"/>
      <c r="K344" s="1377"/>
      <c r="L344" s="1377"/>
      <c r="M344" s="1377"/>
      <c r="N344" s="1377"/>
      <c r="O344" s="1377"/>
      <c r="P344" s="1377"/>
      <c r="Q344" s="1377"/>
      <c r="R344" s="1377"/>
      <c r="T344" s="204" t="s">
        <v>885</v>
      </c>
      <c r="V344" s="3"/>
      <c r="W344" s="3"/>
      <c r="X344" s="3"/>
      <c r="Y344" s="3"/>
      <c r="AA344" s="1377" t="s">
        <v>2695</v>
      </c>
      <c r="AB344" s="1377"/>
      <c r="AC344" s="1377"/>
      <c r="AD344" s="1377"/>
      <c r="AE344" s="1377"/>
      <c r="AF344" s="1377"/>
      <c r="AG344" s="1377"/>
      <c r="AH344" s="1377"/>
      <c r="AI344" s="1377"/>
      <c r="AJ344" s="1377"/>
      <c r="AK344" s="1377"/>
    </row>
    <row r="345" spans="2:66" ht="12.95" customHeight="1">
      <c r="B345" s="3" t="s">
        <v>470</v>
      </c>
      <c r="C345" s="3"/>
      <c r="D345" s="3"/>
      <c r="E345" s="3"/>
      <c r="F345" s="3"/>
      <c r="H345" s="1404" t="s">
        <v>2689</v>
      </c>
      <c r="I345" s="1404"/>
      <c r="J345" s="1404"/>
      <c r="K345" s="1404"/>
      <c r="L345" s="1404"/>
      <c r="M345" s="1404"/>
      <c r="N345" s="1404"/>
      <c r="O345" s="1404"/>
      <c r="P345" s="1404"/>
      <c r="Q345" s="1404"/>
      <c r="R345" s="1404"/>
      <c r="T345" s="3" t="s">
        <v>470</v>
      </c>
      <c r="V345" s="3"/>
      <c r="W345" s="3"/>
      <c r="X345" s="3"/>
      <c r="Y345" s="3"/>
      <c r="AA345" s="1404" t="s">
        <v>2696</v>
      </c>
      <c r="AB345" s="1404"/>
      <c r="AC345" s="1404"/>
      <c r="AD345" s="1404"/>
      <c r="AE345" s="1404"/>
      <c r="AF345" s="1404"/>
      <c r="AG345" s="1404"/>
      <c r="AH345" s="1404"/>
      <c r="AI345" s="1404"/>
      <c r="AJ345" s="1404"/>
      <c r="AK345" s="1404"/>
    </row>
    <row r="346" spans="2:66" ht="12.95" customHeight="1">
      <c r="B346" s="3" t="s">
        <v>75</v>
      </c>
      <c r="C346" s="3"/>
      <c r="D346" s="3"/>
      <c r="E346" s="3"/>
      <c r="F346" s="3"/>
      <c r="H346" s="1404" t="s">
        <v>2690</v>
      </c>
      <c r="I346" s="1404"/>
      <c r="J346" s="1404"/>
      <c r="K346" s="1404"/>
      <c r="L346" s="1404"/>
      <c r="M346" s="1404"/>
      <c r="N346" s="1404"/>
      <c r="O346" s="1404"/>
      <c r="P346" s="1404"/>
      <c r="Q346" s="1404"/>
      <c r="R346" s="1404"/>
      <c r="T346" s="3" t="s">
        <v>75</v>
      </c>
      <c r="V346" s="3"/>
      <c r="W346" s="3"/>
      <c r="X346" s="3"/>
      <c r="Y346" s="3"/>
      <c r="AA346" s="1404" t="s">
        <v>2697</v>
      </c>
      <c r="AB346" s="1404"/>
      <c r="AC346" s="1404"/>
      <c r="AD346" s="1404"/>
      <c r="AE346" s="1404"/>
      <c r="AF346" s="1404"/>
      <c r="AG346" s="1404"/>
      <c r="AH346" s="1404"/>
      <c r="AI346" s="1404"/>
      <c r="AJ346" s="1404"/>
      <c r="AK346" s="1404"/>
    </row>
    <row r="347" spans="2:66" ht="12.95" customHeight="1">
      <c r="B347" s="3" t="s">
        <v>87</v>
      </c>
      <c r="C347" s="3"/>
      <c r="D347" s="3"/>
      <c r="E347" s="3"/>
      <c r="F347" s="3"/>
      <c r="G347" s="3"/>
      <c r="H347" s="1404" t="s">
        <v>2691</v>
      </c>
      <c r="I347" s="1404"/>
      <c r="J347" s="1404"/>
      <c r="K347" s="1404"/>
      <c r="L347" s="1404"/>
      <c r="M347" s="1404"/>
      <c r="N347" s="1404"/>
      <c r="O347" s="1404"/>
      <c r="P347" s="1404"/>
      <c r="Q347" s="1404"/>
      <c r="R347" s="1404"/>
      <c r="T347" s="3" t="s">
        <v>87</v>
      </c>
      <c r="V347" s="3"/>
      <c r="W347" s="3"/>
      <c r="X347" s="3"/>
      <c r="Y347" s="3"/>
      <c r="AA347" s="1404" t="s">
        <v>2698</v>
      </c>
      <c r="AB347" s="1404"/>
      <c r="AC347" s="1404"/>
      <c r="AD347" s="1404"/>
      <c r="AE347" s="1404"/>
      <c r="AF347" s="1404"/>
      <c r="AG347" s="1404"/>
      <c r="AH347" s="1404"/>
      <c r="AI347" s="1404"/>
      <c r="AJ347" s="1404"/>
      <c r="AK347" s="1404"/>
    </row>
    <row r="348" spans="2:66" ht="12.95" customHeight="1">
      <c r="B348" s="3" t="s">
        <v>88</v>
      </c>
      <c r="C348" s="3"/>
      <c r="D348" s="3"/>
      <c r="E348" s="3"/>
      <c r="F348" s="3"/>
      <c r="G348" s="3"/>
      <c r="H348" s="1683" t="s">
        <v>2692</v>
      </c>
      <c r="I348" s="1394"/>
      <c r="J348" s="1394"/>
      <c r="K348" s="1394"/>
      <c r="L348" s="1394"/>
      <c r="M348" s="1394"/>
      <c r="N348" s="4" t="s">
        <v>206</v>
      </c>
      <c r="O348" s="4"/>
      <c r="P348" s="1403"/>
      <c r="Q348" s="1403"/>
      <c r="R348" s="1403"/>
      <c r="S348" s="3"/>
      <c r="T348" s="3" t="s">
        <v>88</v>
      </c>
      <c r="V348" s="3"/>
      <c r="W348" s="3"/>
      <c r="X348" s="3"/>
      <c r="Y348" s="3"/>
      <c r="AA348" s="1394">
        <v>9495260970</v>
      </c>
      <c r="AB348" s="1394"/>
      <c r="AC348" s="1394"/>
      <c r="AD348" s="1394"/>
      <c r="AE348" s="1394"/>
      <c r="AF348" s="1394"/>
      <c r="AG348" s="4" t="s">
        <v>206</v>
      </c>
      <c r="AH348" s="4"/>
      <c r="AI348" s="1403"/>
      <c r="AJ348" s="1403"/>
      <c r="AK348" s="1403"/>
    </row>
    <row r="349" spans="2:66" ht="12.95" customHeight="1">
      <c r="B349" s="3" t="s">
        <v>89</v>
      </c>
      <c r="C349" s="3"/>
      <c r="D349" s="3"/>
      <c r="E349" s="3"/>
      <c r="F349" s="3"/>
      <c r="G349" s="3"/>
      <c r="H349" s="1650" t="s">
        <v>590</v>
      </c>
      <c r="I349" s="1405"/>
      <c r="J349" s="1405"/>
      <c r="K349" s="1405"/>
      <c r="L349" s="1405"/>
      <c r="M349" s="1405"/>
      <c r="N349" s="4"/>
      <c r="O349" s="4"/>
      <c r="P349" s="35"/>
      <c r="Q349" s="35"/>
      <c r="R349" s="35"/>
      <c r="S349" s="3"/>
      <c r="T349" s="3" t="s">
        <v>89</v>
      </c>
      <c r="V349" s="3"/>
      <c r="W349" s="3"/>
      <c r="X349" s="3"/>
      <c r="Y349" s="3"/>
      <c r="AA349" s="1650" t="s">
        <v>590</v>
      </c>
      <c r="AB349" s="1405"/>
      <c r="AC349" s="1405"/>
      <c r="AD349" s="1405"/>
      <c r="AE349" s="1405"/>
      <c r="AF349" s="1405"/>
      <c r="AG349" s="4"/>
      <c r="AH349" s="4"/>
      <c r="AI349" s="35"/>
      <c r="AJ349" s="35"/>
      <c r="AK349" s="35"/>
    </row>
    <row r="350" spans="2:66" ht="12.95" customHeight="1">
      <c r="B350" s="3" t="s">
        <v>76</v>
      </c>
      <c r="C350" s="3"/>
      <c r="D350" s="3"/>
      <c r="E350" s="3"/>
      <c r="F350" s="3"/>
      <c r="G350" s="3"/>
      <c r="H350" s="1404" t="s">
        <v>2693</v>
      </c>
      <c r="I350" s="1404"/>
      <c r="J350" s="1404"/>
      <c r="K350" s="1404"/>
      <c r="L350" s="1404"/>
      <c r="M350" s="1404"/>
      <c r="N350" s="1377"/>
      <c r="O350" s="1377"/>
      <c r="P350" s="1377"/>
      <c r="Q350" s="1377"/>
      <c r="R350" s="1377"/>
      <c r="S350" s="3"/>
      <c r="T350" s="3" t="s">
        <v>76</v>
      </c>
      <c r="V350" s="3"/>
      <c r="W350" s="3"/>
      <c r="X350" s="3"/>
      <c r="Y350" s="3"/>
      <c r="AA350" s="1404" t="s">
        <v>2699</v>
      </c>
      <c r="AB350" s="1404"/>
      <c r="AC350" s="1404"/>
      <c r="AD350" s="1404"/>
      <c r="AE350" s="1404"/>
      <c r="AF350" s="1404"/>
      <c r="AG350" s="1377"/>
      <c r="AH350" s="1377"/>
      <c r="AI350" s="1377"/>
      <c r="AJ350" s="1377"/>
      <c r="AK350" s="1377"/>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377" t="s">
        <v>590</v>
      </c>
      <c r="Q352" s="1377"/>
      <c r="R352" s="1377"/>
      <c r="S352" s="1377"/>
      <c r="T352" s="1377"/>
      <c r="U352" s="1377"/>
      <c r="V352" s="1377"/>
      <c r="W352" s="1377"/>
      <c r="X352" s="1377"/>
      <c r="Y352" s="1377"/>
      <c r="Z352" s="1377"/>
      <c r="AA352" s="1377"/>
      <c r="AB352" s="1377"/>
      <c r="AC352" s="1377"/>
      <c r="AD352" s="1377"/>
      <c r="AE352" s="1377"/>
      <c r="BN352" t="s">
        <v>668</v>
      </c>
    </row>
    <row r="353" spans="1:66" ht="12.95" customHeight="1">
      <c r="B353" s="4"/>
      <c r="C353" s="4"/>
      <c r="D353" s="4"/>
      <c r="E353" s="4"/>
      <c r="F353" s="4"/>
      <c r="I353" s="4" t="s">
        <v>470</v>
      </c>
      <c r="P353" s="1404" t="s">
        <v>590</v>
      </c>
      <c r="Q353" s="1404"/>
      <c r="R353" s="1404"/>
      <c r="S353" s="1404"/>
      <c r="T353" s="1404"/>
      <c r="U353" s="1404"/>
      <c r="V353" s="1404"/>
      <c r="W353" s="1404"/>
      <c r="X353" s="1404"/>
      <c r="Y353" s="1404"/>
      <c r="Z353" s="1404"/>
      <c r="AA353" s="1404"/>
      <c r="AB353" s="1404"/>
      <c r="AC353" s="1404"/>
      <c r="AD353" s="1404"/>
      <c r="AE353" s="1404"/>
      <c r="BN353" t="s">
        <v>544</v>
      </c>
    </row>
    <row r="354" spans="1:66" ht="12.95" customHeight="1">
      <c r="B354" s="4"/>
      <c r="C354" s="4"/>
      <c r="D354" s="4"/>
      <c r="E354" s="4"/>
      <c r="F354" s="4"/>
      <c r="I354" s="4" t="s">
        <v>75</v>
      </c>
      <c r="P354" s="1404" t="s">
        <v>590</v>
      </c>
      <c r="Q354" s="1404"/>
      <c r="R354" s="1404"/>
      <c r="S354" s="1404"/>
      <c r="T354" s="1404"/>
      <c r="U354" s="1404"/>
      <c r="V354" s="1404"/>
      <c r="W354" s="1404"/>
      <c r="X354" s="1404"/>
      <c r="Y354" s="1404"/>
      <c r="Z354" s="1404"/>
      <c r="AA354" s="1404"/>
      <c r="AB354" s="1404"/>
      <c r="AC354" s="1404"/>
      <c r="AD354" s="1404"/>
      <c r="AE354" s="1404"/>
    </row>
    <row r="355" spans="1:66" ht="12.95" customHeight="1">
      <c r="B355" s="4"/>
      <c r="C355" s="4"/>
      <c r="D355" s="4"/>
      <c r="E355" s="4"/>
      <c r="F355" s="4"/>
      <c r="G355" s="4"/>
      <c r="I355" s="4" t="s">
        <v>87</v>
      </c>
      <c r="P355" s="1404" t="s">
        <v>590</v>
      </c>
      <c r="Q355" s="1404"/>
      <c r="R355" s="1404"/>
      <c r="S355" s="1404"/>
      <c r="T355" s="1404"/>
      <c r="U355" s="1404"/>
      <c r="V355" s="1404"/>
      <c r="W355" s="1404"/>
      <c r="X355" s="1404"/>
      <c r="Y355" s="1404"/>
      <c r="Z355" s="1404"/>
      <c r="AA355" s="1404"/>
      <c r="AB355" s="1404"/>
      <c r="AC355" s="1404"/>
      <c r="AD355" s="1404"/>
      <c r="AE355" s="1404"/>
    </row>
    <row r="356" spans="1:66" ht="12.95" customHeight="1">
      <c r="B356" s="4"/>
      <c r="C356" s="4"/>
      <c r="D356" s="4"/>
      <c r="E356" s="4"/>
      <c r="F356" s="4"/>
      <c r="G356" s="4"/>
      <c r="H356" s="302"/>
      <c r="I356" s="4" t="s">
        <v>88</v>
      </c>
      <c r="P356" s="1650" t="s">
        <v>590</v>
      </c>
      <c r="Q356" s="1405"/>
      <c r="R356" s="1405"/>
      <c r="S356" s="1405"/>
      <c r="T356" s="1405"/>
      <c r="U356" s="1405"/>
      <c r="V356" s="1405"/>
      <c r="W356" s="1405"/>
      <c r="X356" s="1405"/>
      <c r="Y356" s="1405"/>
      <c r="Z356" s="1405"/>
      <c r="AA356" s="4" t="s">
        <v>206</v>
      </c>
      <c r="AB356" s="4"/>
      <c r="AC356" s="1369"/>
      <c r="AD356" s="1369"/>
      <c r="AE356" s="1369"/>
      <c r="AF356" s="302"/>
      <c r="AG356" s="4"/>
      <c r="AH356" s="4"/>
      <c r="AI356" s="4"/>
      <c r="AJ356" s="4"/>
      <c r="AK356" s="4"/>
    </row>
    <row r="357" spans="1:66" ht="12.95" customHeight="1">
      <c r="B357" s="4"/>
      <c r="C357" s="4"/>
      <c r="D357" s="4"/>
      <c r="E357" s="4"/>
      <c r="F357" s="4"/>
      <c r="G357" s="4"/>
      <c r="H357" s="302"/>
      <c r="I357" s="4" t="s">
        <v>89</v>
      </c>
      <c r="P357" s="1650" t="s">
        <v>590</v>
      </c>
      <c r="Q357" s="1405"/>
      <c r="R357" s="1405"/>
      <c r="S357" s="1405"/>
      <c r="T357" s="1405"/>
      <c r="U357" s="1405"/>
      <c r="V357" s="1405"/>
      <c r="W357" s="1405"/>
      <c r="X357" s="1405"/>
      <c r="Y357" s="1405"/>
      <c r="Z357" s="1405"/>
      <c r="AF357" s="302"/>
      <c r="AG357" s="4"/>
      <c r="AH357" s="4"/>
      <c r="AI357" s="35"/>
      <c r="AJ357" s="35"/>
      <c r="AK357" s="35"/>
    </row>
    <row r="358" spans="1:66" ht="12.95" customHeight="1">
      <c r="B358" s="4"/>
      <c r="C358" s="4"/>
      <c r="D358" s="4"/>
      <c r="E358" s="4"/>
      <c r="F358" s="4"/>
      <c r="G358" s="4"/>
      <c r="I358" s="4" t="s">
        <v>76</v>
      </c>
      <c r="P358" s="1377" t="s">
        <v>590</v>
      </c>
      <c r="Q358" s="1377"/>
      <c r="R358" s="1377"/>
      <c r="S358" s="1377"/>
      <c r="T358" s="1377"/>
      <c r="U358" s="1377"/>
      <c r="V358" s="1377"/>
      <c r="W358" s="1377"/>
      <c r="X358" s="1377"/>
      <c r="Y358" s="1377"/>
      <c r="Z358" s="1377"/>
      <c r="AA358" s="1377"/>
      <c r="AB358" s="1377"/>
      <c r="AC358" s="1377"/>
      <c r="AD358" s="1377"/>
      <c r="AE358" s="1377"/>
    </row>
    <row r="359" spans="1:66" ht="12.95" customHeight="1">
      <c r="T359" s="8"/>
      <c r="U359" s="8"/>
      <c r="V359" s="8"/>
      <c r="W359" s="8"/>
      <c r="X359" s="8"/>
      <c r="Y359" s="8"/>
      <c r="Z359" s="8"/>
      <c r="AU359" s="95"/>
      <c r="AV359" s="95"/>
      <c r="AW359" s="95"/>
      <c r="AX359" s="95"/>
      <c r="AY359" s="95"/>
    </row>
    <row r="360" spans="1:66" ht="12.95" customHeight="1">
      <c r="A360" s="1278" t="s">
        <v>541</v>
      </c>
      <c r="B360" s="1278"/>
      <c r="C360" s="1278"/>
      <c r="D360" s="1278"/>
      <c r="E360" s="1278"/>
      <c r="F360" s="1278"/>
      <c r="G360" s="1278"/>
      <c r="H360" s="1278"/>
      <c r="I360" s="1278"/>
      <c r="J360" s="1278"/>
      <c r="K360" s="1278"/>
      <c r="L360" s="1278"/>
      <c r="M360" s="1278"/>
      <c r="N360" s="1278"/>
      <c r="O360" s="1278"/>
      <c r="P360" s="1278"/>
      <c r="Q360" s="1278"/>
      <c r="R360" s="1278"/>
      <c r="S360" s="1278"/>
      <c r="T360" s="1278"/>
      <c r="U360" s="1278"/>
      <c r="V360" s="1278"/>
      <c r="W360" s="1278"/>
      <c r="X360" s="1278"/>
      <c r="Y360" s="1278"/>
      <c r="Z360" s="1278"/>
      <c r="AA360" s="1278"/>
      <c r="AB360" s="1278"/>
      <c r="AC360" s="1278"/>
      <c r="AD360" s="1278"/>
      <c r="AE360" s="1278"/>
      <c r="AF360" s="1278"/>
      <c r="AG360" s="1278"/>
      <c r="AH360" s="1278"/>
      <c r="AI360" s="1278"/>
      <c r="AJ360" s="1278"/>
      <c r="AK360" s="1278"/>
      <c r="AL360" s="1278"/>
      <c r="AM360" s="1278"/>
      <c r="AN360" s="1278"/>
      <c r="AO360" s="1278"/>
      <c r="AP360" s="1278"/>
      <c r="AQ360" s="1278"/>
      <c r="AR360" s="1278"/>
      <c r="AS360" s="1278"/>
      <c r="AT360" s="1278"/>
      <c r="AU360" s="95"/>
      <c r="AV360" s="95"/>
      <c r="AW360" s="95"/>
      <c r="AX360" s="95"/>
      <c r="AY360" s="95"/>
    </row>
    <row r="361" spans="1:66" ht="12.95" customHeight="1">
      <c r="A361" s="1278"/>
      <c r="B361" s="1278"/>
      <c r="C361" s="1278"/>
      <c r="D361" s="1278"/>
      <c r="E361" s="1278"/>
      <c r="F361" s="1278"/>
      <c r="G361" s="1278"/>
      <c r="H361" s="1278"/>
      <c r="I361" s="1278"/>
      <c r="J361" s="1278"/>
      <c r="K361" s="1278"/>
      <c r="L361" s="1278"/>
      <c r="M361" s="1278"/>
      <c r="N361" s="1278"/>
      <c r="O361" s="1278"/>
      <c r="P361" s="1278"/>
      <c r="Q361" s="1278"/>
      <c r="R361" s="1278"/>
      <c r="S361" s="1278"/>
      <c r="T361" s="1278"/>
      <c r="U361" s="1278"/>
      <c r="V361" s="1278"/>
      <c r="W361" s="1278"/>
      <c r="X361" s="1278"/>
      <c r="Y361" s="1278"/>
      <c r="Z361" s="1278"/>
      <c r="AA361" s="1278"/>
      <c r="AB361" s="1278"/>
      <c r="AC361" s="1278"/>
      <c r="AD361" s="1278"/>
      <c r="AE361" s="1278"/>
      <c r="AF361" s="1278"/>
      <c r="AG361" s="1278"/>
      <c r="AH361" s="1278"/>
      <c r="AI361" s="1278"/>
      <c r="AJ361" s="1278"/>
      <c r="AK361" s="1278"/>
      <c r="AL361" s="1278"/>
      <c r="AM361" s="1278"/>
      <c r="AN361" s="1278"/>
      <c r="AO361" s="1278"/>
      <c r="AP361" s="1278"/>
      <c r="AQ361" s="1278"/>
      <c r="AR361" s="1278"/>
      <c r="AS361" s="1278"/>
      <c r="AT361" s="1278"/>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781</v>
      </c>
    </row>
    <row r="364" spans="1:66" ht="12.95" customHeight="1">
      <c r="D364" s="3" t="s">
        <v>2052</v>
      </c>
      <c r="M364" s="1269" t="s">
        <v>544</v>
      </c>
      <c r="N364" s="1269"/>
      <c r="P364" t="s">
        <v>1638</v>
      </c>
      <c r="AJ364" s="1269" t="s">
        <v>590</v>
      </c>
      <c r="AK364" s="1269"/>
    </row>
    <row r="365" spans="1:66" ht="12.95" customHeight="1">
      <c r="D365" s="3" t="s">
        <v>1627</v>
      </c>
      <c r="M365" s="1269" t="s">
        <v>590</v>
      </c>
      <c r="N365" s="1269"/>
      <c r="P365" s="3" t="s">
        <v>1707</v>
      </c>
      <c r="AJ365" s="1466">
        <v>0</v>
      </c>
      <c r="AK365" s="1466"/>
    </row>
    <row r="366" spans="1:66" ht="12.95" customHeight="1">
      <c r="D366" s="3" t="s">
        <v>703</v>
      </c>
      <c r="M366" s="1269" t="s">
        <v>590</v>
      </c>
      <c r="N366" s="1269"/>
      <c r="P366" t="s">
        <v>1637</v>
      </c>
      <c r="AJ366" s="1269" t="s">
        <v>590</v>
      </c>
      <c r="AK366" s="1269"/>
    </row>
    <row r="367" spans="1:66" ht="12.95" customHeight="1">
      <c r="D367" s="3" t="s">
        <v>704</v>
      </c>
      <c r="M367" s="1269" t="s">
        <v>590</v>
      </c>
      <c r="N367" s="1269"/>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269" t="s">
        <v>590</v>
      </c>
      <c r="O372" s="1269"/>
      <c r="P372" s="40"/>
      <c r="Q372" s="40"/>
      <c r="R372" s="40"/>
      <c r="S372" s="40"/>
      <c r="T372" s="40"/>
      <c r="U372" s="40"/>
      <c r="V372" s="40"/>
      <c r="W372" s="40"/>
      <c r="X372" s="40"/>
      <c r="Y372" s="40"/>
      <c r="Z372" s="40"/>
      <c r="AC372" s="40"/>
      <c r="AD372" s="40"/>
      <c r="AE372" s="40"/>
    </row>
    <row r="373" spans="1:34" ht="12.95" customHeight="1">
      <c r="E373" t="s">
        <v>370</v>
      </c>
      <c r="Y373" s="1269" t="s">
        <v>590</v>
      </c>
      <c r="Z373" s="1269"/>
    </row>
    <row r="374" spans="1:34" ht="12.95" customHeight="1">
      <c r="D374" s="4" t="s">
        <v>977</v>
      </c>
      <c r="Q374" s="1377" t="s">
        <v>590</v>
      </c>
      <c r="R374" s="1377"/>
      <c r="S374" s="1377"/>
      <c r="T374" s="1377"/>
      <c r="U374" s="1377"/>
      <c r="V374" s="1377"/>
      <c r="W374" s="1377"/>
      <c r="X374" s="1377"/>
      <c r="Y374" s="1377"/>
      <c r="Z374" s="1377"/>
      <c r="AA374" s="1377"/>
      <c r="AB374" s="1377"/>
      <c r="AC374" s="1377"/>
      <c r="AD374" s="1377"/>
      <c r="AE374" s="1377"/>
      <c r="AF374" s="1377"/>
      <c r="AG374" s="1377"/>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269" t="s">
        <v>590</v>
      </c>
      <c r="K376" s="1269"/>
      <c r="L376" s="40"/>
      <c r="M376" s="40"/>
      <c r="N376" s="40"/>
      <c r="O376" s="40"/>
      <c r="P376" s="40"/>
      <c r="Q376" s="40"/>
      <c r="R376" s="40"/>
      <c r="S376" s="40"/>
      <c r="T376" s="40"/>
      <c r="U376" s="40"/>
      <c r="V376" s="40"/>
      <c r="W376" s="40"/>
      <c r="X376" s="40"/>
      <c r="Y376" s="40"/>
      <c r="Z376" s="40"/>
      <c r="AC376" s="40"/>
      <c r="AD376" s="40"/>
      <c r="AE376" s="40"/>
    </row>
    <row r="377" spans="1:34" ht="12.95" customHeight="1">
      <c r="E377" s="1392" t="s">
        <v>705</v>
      </c>
      <c r="F377" s="1392"/>
      <c r="G377" s="1392"/>
      <c r="H377" s="1392"/>
      <c r="I377" s="1392"/>
      <c r="J377" s="1392"/>
      <c r="K377" s="1392"/>
      <c r="L377" s="1392"/>
      <c r="M377" s="1392"/>
      <c r="N377" s="1392"/>
      <c r="O377" s="1392"/>
      <c r="P377" s="1392"/>
      <c r="Q377" s="1392"/>
      <c r="R377" s="1392"/>
      <c r="S377" s="1392"/>
      <c r="T377" s="1392"/>
      <c r="U377" s="1392"/>
      <c r="V377" s="1392"/>
      <c r="W377" s="1392"/>
      <c r="X377" s="1392"/>
      <c r="Y377" s="1392"/>
      <c r="Z377" s="1392"/>
      <c r="AA377" s="1392"/>
      <c r="AB377" s="1392"/>
      <c r="AC377" s="1392"/>
      <c r="AD377" s="1392"/>
      <c r="AE377" s="1392"/>
      <c r="AF377" s="1392"/>
      <c r="AG377" s="1392"/>
      <c r="AH377" s="1392"/>
    </row>
    <row r="378" spans="1:34" ht="12.95" customHeight="1">
      <c r="E378" s="1392"/>
      <c r="F378" s="1392"/>
      <c r="G378" s="1392"/>
      <c r="H378" s="1392"/>
      <c r="I378" s="1392"/>
      <c r="J378" s="1392"/>
      <c r="K378" s="1392"/>
      <c r="L378" s="1392"/>
      <c r="M378" s="1392"/>
      <c r="N378" s="1392"/>
      <c r="O378" s="1392"/>
      <c r="P378" s="1392"/>
      <c r="Q378" s="1392"/>
      <c r="R378" s="1392"/>
      <c r="S378" s="1392"/>
      <c r="T378" s="1392"/>
      <c r="U378" s="1392"/>
      <c r="V378" s="1392"/>
      <c r="W378" s="1392"/>
      <c r="X378" s="1392"/>
      <c r="Y378" s="1392"/>
      <c r="Z378" s="1392"/>
      <c r="AA378" s="1392"/>
      <c r="AB378" s="1392"/>
      <c r="AC378" s="1392"/>
      <c r="AD378" s="1392"/>
      <c r="AE378" s="1392"/>
      <c r="AF378" s="1392"/>
      <c r="AG378" s="1392"/>
      <c r="AH378" s="1392"/>
    </row>
    <row r="379" spans="1:34" ht="12.95" customHeight="1">
      <c r="E379" s="4" t="s">
        <v>447</v>
      </c>
      <c r="F379" s="4"/>
      <c r="G379" s="4"/>
      <c r="H379" s="4"/>
      <c r="I379" s="4"/>
      <c r="J379" s="4"/>
      <c r="K379" s="4"/>
      <c r="L379" s="4"/>
      <c r="N379" s="1703" t="s">
        <v>590</v>
      </c>
      <c r="O379" s="1446"/>
      <c r="P379" s="1446"/>
      <c r="Q379" s="1446"/>
      <c r="R379" s="4"/>
      <c r="U379" s="4" t="s">
        <v>448</v>
      </c>
      <c r="V379" s="4"/>
      <c r="W379" s="4"/>
      <c r="X379" s="4"/>
      <c r="Y379" s="4"/>
      <c r="Z379" s="4"/>
      <c r="AA379" s="4"/>
      <c r="AB379" s="4"/>
      <c r="AC379" s="1703" t="s">
        <v>590</v>
      </c>
      <c r="AD379" s="1446"/>
      <c r="AE379" s="1446"/>
      <c r="AF379" s="1446"/>
    </row>
    <row r="380" spans="1:34" ht="12.95" customHeight="1">
      <c r="E380" s="4" t="s">
        <v>449</v>
      </c>
      <c r="F380" s="4"/>
      <c r="G380" s="4"/>
      <c r="H380" s="4"/>
      <c r="I380" s="4"/>
      <c r="J380" s="4"/>
      <c r="K380" s="4"/>
      <c r="L380" s="4"/>
      <c r="N380" s="1703" t="s">
        <v>590</v>
      </c>
      <c r="O380" s="1446"/>
      <c r="P380" s="1446"/>
      <c r="Q380" s="1446"/>
      <c r="R380" s="4"/>
      <c r="U380" s="4" t="s">
        <v>0</v>
      </c>
      <c r="V380" s="4"/>
      <c r="W380" s="4"/>
      <c r="X380" s="4"/>
      <c r="Y380" s="4"/>
      <c r="Z380" s="4"/>
      <c r="AA380" s="4"/>
      <c r="AB380" s="4"/>
      <c r="AC380" s="1703" t="s">
        <v>590</v>
      </c>
      <c r="AD380" s="1446"/>
      <c r="AE380" s="1446"/>
      <c r="AF380" s="1446"/>
    </row>
    <row r="381" spans="1:34" ht="12.95" customHeight="1">
      <c r="E381" s="4" t="s">
        <v>1</v>
      </c>
      <c r="F381" s="4"/>
      <c r="G381" s="4"/>
      <c r="H381" s="4"/>
      <c r="I381" s="4"/>
      <c r="J381" s="4"/>
      <c r="K381" s="4"/>
      <c r="L381" s="4"/>
      <c r="N381" s="1703" t="s">
        <v>590</v>
      </c>
      <c r="O381" s="1446"/>
      <c r="P381" s="1446"/>
      <c r="Q381" s="1446"/>
      <c r="R381" s="4"/>
      <c r="V381" s="4"/>
      <c r="W381" s="4"/>
      <c r="X381" s="4"/>
      <c r="Y381" s="4"/>
      <c r="Z381" s="4"/>
      <c r="AA381" s="4"/>
      <c r="AB381" s="4"/>
    </row>
    <row r="382" spans="1:34" ht="12.95" customHeight="1">
      <c r="E382" s="4" t="s">
        <v>2</v>
      </c>
      <c r="F382" s="4"/>
      <c r="G382" s="4"/>
      <c r="H382" s="4"/>
      <c r="I382" s="4"/>
      <c r="J382" s="4"/>
      <c r="K382" s="4"/>
      <c r="L382" s="4"/>
      <c r="N382" s="1691" t="s">
        <v>590</v>
      </c>
      <c r="O382" s="1692"/>
      <c r="P382" s="1692"/>
      <c r="Q382" s="1692"/>
      <c r="R382" s="1692"/>
      <c r="S382" s="1692"/>
      <c r="T382" s="1692"/>
      <c r="U382" s="1692"/>
      <c r="V382" s="1692"/>
      <c r="W382" s="1692"/>
      <c r="X382" s="1692"/>
      <c r="Y382" s="1692"/>
      <c r="Z382" s="1692"/>
      <c r="AA382" s="1692"/>
      <c r="AB382" s="1692"/>
      <c r="AC382" s="1692"/>
      <c r="AD382" s="1692"/>
      <c r="AE382" s="1692"/>
      <c r="AF382" s="1692"/>
    </row>
    <row r="383" spans="1:34" ht="12.95" customHeight="1">
      <c r="E383" s="4"/>
      <c r="F383" s="4"/>
      <c r="G383" s="4"/>
      <c r="H383" s="4"/>
      <c r="I383" s="4"/>
      <c r="J383" s="4"/>
      <c r="K383" s="4"/>
      <c r="L383" s="4"/>
      <c r="N383" s="1693"/>
      <c r="O383" s="1693"/>
      <c r="P383" s="1693"/>
      <c r="Q383" s="1693"/>
      <c r="R383" s="1693"/>
      <c r="S383" s="1693"/>
      <c r="T383" s="1693"/>
      <c r="U383" s="1693"/>
      <c r="V383" s="1693"/>
      <c r="W383" s="1693"/>
      <c r="X383" s="1693"/>
      <c r="Y383" s="1693"/>
      <c r="Z383" s="1693"/>
      <c r="AA383" s="1693"/>
      <c r="AB383" s="1693"/>
      <c r="AC383" s="1693"/>
      <c r="AD383" s="1693"/>
      <c r="AE383" s="1693"/>
      <c r="AF383" s="1693"/>
    </row>
    <row r="384" spans="1:34" ht="12.95" customHeight="1">
      <c r="C384" s="512"/>
      <c r="E384" s="4"/>
      <c r="F384" s="4"/>
      <c r="G384" s="4"/>
      <c r="H384" s="4"/>
      <c r="I384" s="4"/>
      <c r="J384" s="4"/>
      <c r="K384" s="4"/>
      <c r="L384" s="4"/>
    </row>
    <row r="385" spans="1:36" ht="12.95" customHeight="1">
      <c r="D385" s="2" t="s">
        <v>974</v>
      </c>
      <c r="E385" s="2"/>
      <c r="F385" s="4"/>
      <c r="G385" s="4"/>
      <c r="H385" s="4"/>
      <c r="I385" s="4"/>
      <c r="J385" s="4"/>
      <c r="K385" s="4"/>
      <c r="L385" s="4"/>
    </row>
    <row r="386" spans="1:36" ht="12.95" customHeight="1">
      <c r="E386" s="4" t="s">
        <v>2038</v>
      </c>
      <c r="F386" s="4"/>
      <c r="G386" s="4"/>
      <c r="H386" s="4"/>
      <c r="I386" s="4"/>
      <c r="J386" s="4"/>
      <c r="K386" s="4"/>
      <c r="L386" s="4"/>
      <c r="N386" t="s">
        <v>2034</v>
      </c>
      <c r="R386" s="27" t="s">
        <v>305</v>
      </c>
      <c r="S386" s="1694"/>
      <c r="T386" s="1694"/>
      <c r="U386" s="1" t="s">
        <v>306</v>
      </c>
      <c r="V386" s="1694"/>
      <c r="W386" s="1694"/>
      <c r="Y386" t="s">
        <v>2034</v>
      </c>
      <c r="AC386" s="27" t="s">
        <v>305</v>
      </c>
      <c r="AD386" s="1694"/>
      <c r="AE386" s="1694"/>
      <c r="AF386" s="1" t="s">
        <v>306</v>
      </c>
      <c r="AG386" s="1694"/>
      <c r="AH386" s="1694"/>
    </row>
    <row r="387" spans="1:36" ht="12.95" customHeight="1">
      <c r="E387" s="4" t="s">
        <v>986</v>
      </c>
      <c r="F387" s="4"/>
      <c r="G387" s="4"/>
      <c r="H387" s="4"/>
      <c r="I387" s="4"/>
      <c r="J387" s="4"/>
      <c r="K387" s="4"/>
      <c r="L387" s="4"/>
      <c r="N387" s="1694"/>
      <c r="O387" s="1694"/>
      <c r="P387" s="1694"/>
    </row>
    <row r="388" spans="1:36" ht="12.95" customHeight="1">
      <c r="E388" s="204" t="s">
        <v>2039</v>
      </c>
      <c r="F388" s="4"/>
      <c r="G388" s="4"/>
      <c r="H388" s="4"/>
      <c r="I388" s="4"/>
      <c r="J388" s="4"/>
      <c r="K388" s="4"/>
      <c r="L388" s="4"/>
      <c r="AG388" s="1699" t="s">
        <v>590</v>
      </c>
      <c r="AH388" s="1699"/>
    </row>
    <row r="389" spans="1:36" ht="12.95" customHeight="1">
      <c r="E389" s="4"/>
      <c r="F389" s="4"/>
      <c r="G389" s="4" t="s">
        <v>2040</v>
      </c>
      <c r="H389" s="4"/>
      <c r="I389" s="4"/>
      <c r="J389" s="4"/>
      <c r="K389" s="4"/>
      <c r="L389" s="4"/>
      <c r="AG389" s="1699" t="s">
        <v>590</v>
      </c>
      <c r="AH389" s="1699"/>
    </row>
    <row r="390" spans="1:36" ht="12.95" customHeight="1">
      <c r="E390" s="4"/>
      <c r="F390" s="4"/>
      <c r="G390" s="320" t="s">
        <v>987</v>
      </c>
      <c r="H390" s="4"/>
      <c r="I390" s="4"/>
      <c r="J390" s="4"/>
      <c r="K390" s="4"/>
      <c r="L390" s="4"/>
      <c r="V390" s="1269" t="s">
        <v>590</v>
      </c>
      <c r="W390" s="1269"/>
      <c r="Y390" s="22" t="s">
        <v>979</v>
      </c>
    </row>
    <row r="391" spans="1:36" ht="12.95" customHeight="1">
      <c r="E391" s="4" t="s">
        <v>980</v>
      </c>
      <c r="F391" s="4"/>
      <c r="G391" s="4"/>
      <c r="H391" s="4"/>
      <c r="I391" s="4"/>
      <c r="J391" s="4"/>
      <c r="K391" s="4"/>
      <c r="L391" s="4"/>
      <c r="V391" s="1269" t="s">
        <v>590</v>
      </c>
      <c r="W391" s="1269"/>
      <c r="Y391" s="4" t="s">
        <v>981</v>
      </c>
    </row>
    <row r="392" spans="1:36" ht="12.95" customHeight="1"/>
    <row r="393" spans="1:36" ht="12.95" customHeight="1">
      <c r="A393" s="2" t="s">
        <v>78</v>
      </c>
      <c r="B393" s="2"/>
    </row>
    <row r="394" spans="1:36" ht="12.95" customHeight="1">
      <c r="D394" t="s">
        <v>428</v>
      </c>
      <c r="J394" s="1377" t="s">
        <v>2662</v>
      </c>
      <c r="K394" s="1377"/>
      <c r="L394" s="1377"/>
      <c r="M394" s="1377"/>
      <c r="N394" s="1377"/>
      <c r="O394" s="1377"/>
      <c r="P394" s="1377"/>
      <c r="Q394" s="1377"/>
      <c r="R394" s="1377"/>
      <c r="S394" s="1377"/>
      <c r="T394" s="1377"/>
      <c r="U394" s="1377"/>
      <c r="V394" s="8" t="s">
        <v>83</v>
      </c>
      <c r="W394" s="8"/>
      <c r="X394" s="8"/>
      <c r="Y394" s="8"/>
      <c r="Z394" s="8"/>
      <c r="AA394" s="8"/>
      <c r="AB394" s="8"/>
      <c r="AC394" s="1377" t="s">
        <v>2659</v>
      </c>
      <c r="AD394" s="1377"/>
      <c r="AE394" s="1377"/>
      <c r="AF394" s="1377"/>
      <c r="AG394" s="1377"/>
      <c r="AH394" s="1377"/>
      <c r="AI394" s="1377"/>
      <c r="AJ394" s="1377"/>
    </row>
    <row r="395" spans="1:36" ht="12.95" customHeight="1">
      <c r="D395" s="3" t="s">
        <v>1181</v>
      </c>
      <c r="J395" s="1404" t="s">
        <v>2648</v>
      </c>
      <c r="K395" s="1404"/>
      <c r="L395" s="1404"/>
      <c r="M395" s="1404"/>
      <c r="N395" s="1404"/>
      <c r="O395" s="1404"/>
      <c r="P395" s="1404"/>
      <c r="Q395" s="1404"/>
      <c r="R395" s="1404"/>
      <c r="S395" s="1404"/>
      <c r="T395" s="1404"/>
      <c r="U395" s="1404"/>
      <c r="V395" s="3" t="s">
        <v>1181</v>
      </c>
      <c r="W395" s="8"/>
      <c r="X395" s="8"/>
      <c r="Y395" s="8"/>
      <c r="Z395" s="8"/>
      <c r="AA395" s="8"/>
      <c r="AB395" s="8"/>
      <c r="AC395" s="1377"/>
      <c r="AD395" s="1377"/>
      <c r="AE395" s="1377"/>
      <c r="AF395" s="1377"/>
      <c r="AG395" s="1377"/>
      <c r="AH395" s="1377"/>
      <c r="AI395" s="1377"/>
      <c r="AJ395" s="1377"/>
    </row>
    <row r="396" spans="1:36" ht="12.95" customHeight="1">
      <c r="D396" s="3" t="s">
        <v>440</v>
      </c>
      <c r="J396" s="1404" t="s">
        <v>2658</v>
      </c>
      <c r="K396" s="1404"/>
      <c r="L396" s="1404"/>
      <c r="M396" s="1404"/>
      <c r="N396" s="1404"/>
      <c r="O396" s="1404"/>
      <c r="P396" s="1404"/>
      <c r="Q396" s="1404"/>
      <c r="R396" s="1404"/>
      <c r="S396" s="1404"/>
      <c r="T396" s="1404"/>
      <c r="U396" s="1404"/>
      <c r="V396" s="3" t="s">
        <v>440</v>
      </c>
      <c r="W396" s="8"/>
      <c r="X396" s="8"/>
      <c r="Y396" s="8"/>
      <c r="Z396" s="8"/>
      <c r="AA396" s="8"/>
      <c r="AB396" s="8"/>
      <c r="AC396" s="1377"/>
      <c r="AD396" s="1377"/>
      <c r="AE396" s="1377"/>
      <c r="AF396" s="1377"/>
      <c r="AG396" s="1377"/>
      <c r="AH396" s="1377"/>
      <c r="AI396" s="1377"/>
      <c r="AJ396" s="1377"/>
    </row>
    <row r="397" spans="1:36" ht="12.95" customHeight="1">
      <c r="D397" t="s">
        <v>1177</v>
      </c>
      <c r="J397" s="1696" t="s">
        <v>2759</v>
      </c>
      <c r="K397" s="1325"/>
      <c r="L397" s="1325"/>
      <c r="M397" s="1325"/>
      <c r="N397" s="1325"/>
      <c r="O397" s="1325"/>
      <c r="P397" s="1325"/>
      <c r="Q397" s="1325"/>
      <c r="R397" s="1325"/>
      <c r="S397" s="1325"/>
      <c r="T397" s="1325"/>
      <c r="U397" s="1325"/>
      <c r="V397" s="1423" t="s">
        <v>2760</v>
      </c>
      <c r="W397" s="1377"/>
      <c r="X397" s="1377"/>
      <c r="Y397" s="1377"/>
      <c r="Z397" s="1377"/>
      <c r="AA397" s="1377"/>
      <c r="AB397" s="1377"/>
      <c r="AC397" s="1377"/>
      <c r="AD397" s="1377"/>
      <c r="AE397" s="1377"/>
      <c r="AF397" s="1377"/>
      <c r="AG397" s="1377"/>
      <c r="AH397" s="1377"/>
      <c r="AI397" s="1377"/>
      <c r="AJ397" s="1377"/>
    </row>
    <row r="398" spans="1:36" ht="12.95" customHeight="1">
      <c r="D398" t="s">
        <v>4</v>
      </c>
      <c r="Q398" s="1702">
        <v>46077</v>
      </c>
      <c r="R398" s="1702"/>
      <c r="S398" s="1702"/>
      <c r="T398" s="1702"/>
      <c r="U398" s="1702"/>
      <c r="V398" t="s">
        <v>309</v>
      </c>
      <c r="AI398" s="1269" t="s">
        <v>668</v>
      </c>
      <c r="AJ398" s="1269"/>
    </row>
    <row r="399" spans="1:36" ht="12.95" customHeight="1">
      <c r="D399" t="s">
        <v>5</v>
      </c>
      <c r="Q399" s="1486">
        <v>46432</v>
      </c>
      <c r="R399" s="1747"/>
      <c r="S399" s="1747"/>
      <c r="T399" s="1747"/>
      <c r="U399" s="1747"/>
      <c r="W399" s="21" t="s">
        <v>74</v>
      </c>
      <c r="AG399" s="1695"/>
      <c r="AH399" s="1695"/>
      <c r="AI399" s="1695"/>
      <c r="AJ399" s="1695"/>
    </row>
    <row r="400" spans="1:36" ht="12.95" customHeight="1">
      <c r="D400" t="s">
        <v>427</v>
      </c>
      <c r="Q400" s="1746">
        <f>'Sources and Uses Budget'!C4</f>
        <v>4990000</v>
      </c>
      <c r="R400" s="1746"/>
      <c r="S400" s="1746"/>
      <c r="T400" s="1746"/>
      <c r="U400" s="1746"/>
      <c r="V400" s="3" t="s">
        <v>1180</v>
      </c>
      <c r="AG400" s="1681">
        <v>46432</v>
      </c>
      <c r="AH400" s="1681"/>
      <c r="AI400" s="1681"/>
      <c r="AJ400" s="1681"/>
    </row>
    <row r="401" spans="4:36" ht="12.95" customHeight="1">
      <c r="D401" t="s">
        <v>88</v>
      </c>
      <c r="I401" s="1394">
        <f>H300</f>
        <v>8182717174</v>
      </c>
      <c r="J401" s="1394"/>
      <c r="K401" s="1394"/>
      <c r="L401" s="1394"/>
      <c r="M401" s="1394"/>
      <c r="N401" s="1394"/>
      <c r="Q401" s="4" t="s">
        <v>206</v>
      </c>
      <c r="S401" s="1705"/>
      <c r="T401" s="1705"/>
      <c r="U401" s="1705"/>
      <c r="V401" t="s">
        <v>73</v>
      </c>
      <c r="AI401" s="1269" t="s">
        <v>668</v>
      </c>
      <c r="AJ401" s="1269"/>
    </row>
    <row r="402" spans="4:36" ht="12.95" customHeight="1">
      <c r="D402" t="s">
        <v>310</v>
      </c>
      <c r="Q402" s="1287">
        <f>AG402/10</f>
        <v>2000</v>
      </c>
      <c r="R402" s="1287"/>
      <c r="S402" s="1287"/>
      <c r="T402" s="1287"/>
      <c r="U402" s="1287"/>
      <c r="V402" t="s">
        <v>311</v>
      </c>
      <c r="AG402" s="1695">
        <f>'Sources and Uses Budget'!C13</f>
        <v>20000</v>
      </c>
      <c r="AH402" s="1695"/>
      <c r="AI402" s="1695"/>
      <c r="AJ402" s="1695"/>
    </row>
    <row r="403" spans="4:36" ht="12.95" customHeight="1">
      <c r="D403" t="s">
        <v>312</v>
      </c>
      <c r="Q403" s="1704">
        <v>1.03E-2</v>
      </c>
      <c r="R403" s="1704"/>
      <c r="S403" s="1704"/>
      <c r="T403" s="1704"/>
      <c r="U403" s="1704"/>
      <c r="V403" t="s">
        <v>1162</v>
      </c>
      <c r="AG403" s="1695">
        <v>0</v>
      </c>
      <c r="AH403" s="1695"/>
      <c r="AI403" s="1695"/>
      <c r="AJ403" s="1695"/>
    </row>
    <row r="404" spans="4:36" ht="12.95" customHeight="1">
      <c r="D404" t="s">
        <v>1161</v>
      </c>
      <c r="AG404" s="1695">
        <v>0</v>
      </c>
      <c r="AH404" s="1695"/>
      <c r="AI404" s="1695"/>
      <c r="AJ404" s="1695"/>
    </row>
    <row r="405" spans="4:36" ht="12.95" customHeight="1">
      <c r="AG405" s="456"/>
      <c r="AH405" s="456"/>
      <c r="AI405" s="456"/>
      <c r="AJ405" s="456"/>
    </row>
    <row r="406" spans="4:36" ht="12.95" customHeight="1">
      <c r="D406" s="3" t="s">
        <v>2096</v>
      </c>
      <c r="AG406" s="456"/>
      <c r="AH406" s="456"/>
      <c r="AI406" s="1269" t="s">
        <v>668</v>
      </c>
      <c r="AJ406" s="1269"/>
    </row>
    <row r="407" spans="4:36" ht="12.95" customHeight="1">
      <c r="D407" s="3" t="s">
        <v>1655</v>
      </c>
      <c r="T407" s="1680" t="s">
        <v>590</v>
      </c>
      <c r="U407" s="1680"/>
      <c r="V407" s="1680"/>
      <c r="W407" s="1680"/>
      <c r="X407" s="1680"/>
      <c r="Y407" s="1680"/>
      <c r="Z407" s="1680"/>
      <c r="AA407" s="1680"/>
      <c r="AB407" s="1680"/>
      <c r="AC407" s="1680"/>
      <c r="AD407" s="1680"/>
      <c r="AE407" s="1680"/>
      <c r="AF407" s="1680"/>
      <c r="AG407" s="1680"/>
      <c r="AH407" s="1680"/>
      <c r="AI407" s="1680"/>
      <c r="AJ407" s="1680"/>
    </row>
    <row r="408" spans="4:36" ht="12.95" customHeight="1">
      <c r="D408" s="3" t="s">
        <v>1654</v>
      </c>
      <c r="T408" s="1680" t="s">
        <v>590</v>
      </c>
      <c r="U408" s="1680"/>
      <c r="V408" s="1680"/>
      <c r="W408" s="1680"/>
      <c r="X408" s="1680"/>
      <c r="Y408" s="1680"/>
      <c r="Z408" s="1680"/>
      <c r="AA408" s="1680"/>
      <c r="AB408" s="1680"/>
      <c r="AC408" s="1680"/>
      <c r="AD408" s="1680"/>
      <c r="AE408" s="1680"/>
      <c r="AF408" s="1680"/>
      <c r="AG408" s="1680"/>
      <c r="AH408" s="1680"/>
      <c r="AI408" s="1680"/>
      <c r="AJ408" s="1680"/>
    </row>
    <row r="409" spans="4:36" ht="12.95" customHeight="1">
      <c r="AG409" s="456"/>
      <c r="AH409" s="456"/>
      <c r="AI409" s="456"/>
      <c r="AJ409" s="456"/>
    </row>
    <row r="410" spans="4:36" ht="12.95" customHeight="1">
      <c r="D410" s="3" t="s">
        <v>1648</v>
      </c>
      <c r="S410" s="1680" t="s">
        <v>668</v>
      </c>
      <c r="T410" s="1680"/>
      <c r="U410" s="1680"/>
      <c r="V410" t="s">
        <v>1649</v>
      </c>
      <c r="AG410" s="1706"/>
      <c r="AH410" s="1706"/>
      <c r="AI410" s="1706"/>
      <c r="AJ410" s="1706"/>
    </row>
    <row r="411" spans="4:36" ht="12.95" customHeight="1">
      <c r="D411" s="3" t="s">
        <v>1646</v>
      </c>
      <c r="S411" s="1680" t="s">
        <v>590</v>
      </c>
      <c r="T411" s="1680"/>
      <c r="U411" s="1680"/>
      <c r="V411" t="s">
        <v>1651</v>
      </c>
      <c r="AE411" s="1748">
        <v>0</v>
      </c>
      <c r="AF411" s="1748"/>
      <c r="AG411" s="1748"/>
      <c r="AH411" s="1748"/>
      <c r="AI411" s="1748"/>
      <c r="AJ411" s="1748"/>
    </row>
    <row r="412" spans="4:36" ht="12.95" customHeight="1">
      <c r="D412" s="3" t="s">
        <v>1647</v>
      </c>
      <c r="K412" s="1682" t="s">
        <v>590</v>
      </c>
      <c r="L412" s="1682"/>
      <c r="M412" s="1682"/>
      <c r="N412" s="1682"/>
      <c r="O412" s="1682"/>
      <c r="P412" s="1682"/>
      <c r="Q412" s="1682"/>
      <c r="R412" s="1682"/>
      <c r="S412" s="1682"/>
      <c r="T412" s="1682"/>
      <c r="U412" s="1682"/>
      <c r="V412" s="1682"/>
      <c r="W412" s="1682"/>
      <c r="X412" s="1682"/>
      <c r="Y412" s="1682"/>
      <c r="Z412" s="1682"/>
      <c r="AA412" s="1682"/>
      <c r="AB412" s="1682"/>
      <c r="AC412" s="1682"/>
      <c r="AD412" s="1682"/>
      <c r="AE412" s="1682"/>
      <c r="AF412" s="1682"/>
      <c r="AG412" s="1682"/>
      <c r="AH412" s="1682"/>
      <c r="AI412" s="1682"/>
      <c r="AJ412" s="1682"/>
    </row>
    <row r="413" spans="4:36" ht="12.95" customHeight="1">
      <c r="D413" s="3" t="s">
        <v>1650</v>
      </c>
      <c r="K413" s="1682" t="s">
        <v>590</v>
      </c>
      <c r="L413" s="1682"/>
      <c r="M413" s="1682"/>
      <c r="N413" s="1682"/>
      <c r="O413" s="1682"/>
      <c r="P413" s="1682"/>
      <c r="Q413" s="1682"/>
      <c r="R413" s="1682"/>
      <c r="S413" s="1682"/>
      <c r="T413" s="1682"/>
      <c r="U413" s="1682"/>
      <c r="V413" s="1682"/>
      <c r="W413" s="1682"/>
      <c r="X413" s="1682"/>
      <c r="Y413" s="1682"/>
      <c r="Z413" s="1682"/>
      <c r="AA413" s="1682"/>
      <c r="AB413" s="1682"/>
      <c r="AC413" s="1682"/>
      <c r="AD413" s="1682"/>
      <c r="AE413" s="1682"/>
      <c r="AF413" s="1682"/>
      <c r="AG413" s="1682"/>
      <c r="AH413" s="1682"/>
      <c r="AI413" s="1682"/>
      <c r="AJ413" s="1682"/>
    </row>
    <row r="414" spans="4:36" ht="12.95" customHeight="1">
      <c r="D414" s="3" t="s">
        <v>1653</v>
      </c>
      <c r="E414" s="477"/>
      <c r="F414" s="477"/>
      <c r="G414" s="477"/>
      <c r="H414" s="477"/>
      <c r="I414" s="477"/>
      <c r="J414" s="477"/>
      <c r="K414" s="477"/>
      <c r="L414" s="477"/>
      <c r="M414" s="477"/>
      <c r="N414" s="477"/>
      <c r="O414" s="477"/>
      <c r="P414" s="477"/>
      <c r="Q414" s="477"/>
      <c r="R414" s="477"/>
      <c r="S414" s="1690" t="s">
        <v>1183</v>
      </c>
      <c r="T414" s="1690"/>
      <c r="U414" s="1690"/>
      <c r="V414" s="1690"/>
      <c r="W414" s="1690"/>
      <c r="X414" s="1690"/>
      <c r="Y414" s="1690"/>
      <c r="Z414" s="1690"/>
      <c r="AA414" s="1690"/>
      <c r="AB414" s="1690"/>
      <c r="AC414" s="1690"/>
      <c r="AD414" s="1690"/>
      <c r="AE414" s="1690"/>
      <c r="AF414" s="1690"/>
      <c r="AG414" s="1690"/>
      <c r="AH414" s="1690"/>
      <c r="AI414" s="1690"/>
      <c r="AJ414" s="1690"/>
    </row>
    <row r="415" spans="4:36" ht="12.95" customHeight="1">
      <c r="D415" s="1320" t="s">
        <v>1652</v>
      </c>
      <c r="E415" s="1320"/>
      <c r="F415" s="1320"/>
      <c r="G415" s="1320"/>
      <c r="H415" s="1320"/>
      <c r="I415" s="1320"/>
      <c r="J415" s="1320"/>
      <c r="K415" s="1320"/>
      <c r="L415" s="1320"/>
      <c r="M415" s="1320"/>
      <c r="N415" s="1320"/>
      <c r="O415" s="1320"/>
      <c r="P415" s="1320"/>
      <c r="Q415" s="1320"/>
      <c r="R415" s="1320"/>
      <c r="S415" s="1320"/>
      <c r="T415" s="1320"/>
      <c r="U415" s="1320"/>
      <c r="V415" s="1320"/>
      <c r="W415" s="1320"/>
      <c r="X415" s="1320"/>
      <c r="Y415" s="1320"/>
      <c r="Z415" s="1320"/>
      <c r="AA415" s="1320"/>
      <c r="AB415" s="1320"/>
      <c r="AC415" s="1320"/>
      <c r="AD415" s="1320"/>
      <c r="AE415" s="1320"/>
      <c r="AF415" s="1320"/>
      <c r="AG415" s="1320"/>
      <c r="AH415" s="1320"/>
      <c r="AI415" s="1320"/>
      <c r="AJ415" s="1320"/>
    </row>
    <row r="416" spans="4:36" ht="12.95" customHeight="1">
      <c r="D416" s="1320"/>
      <c r="E416" s="1320"/>
      <c r="F416" s="1320"/>
      <c r="G416" s="1320"/>
      <c r="H416" s="1320"/>
      <c r="I416" s="1320"/>
      <c r="J416" s="1320"/>
      <c r="K416" s="1320"/>
      <c r="L416" s="1320"/>
      <c r="M416" s="1320"/>
      <c r="N416" s="1320"/>
      <c r="O416" s="1320"/>
      <c r="P416" s="1320"/>
      <c r="Q416" s="1320"/>
      <c r="R416" s="1320"/>
      <c r="S416" s="1320"/>
      <c r="T416" s="1320"/>
      <c r="U416" s="1320"/>
      <c r="V416" s="1320"/>
      <c r="W416" s="1320"/>
      <c r="X416" s="1320"/>
      <c r="Y416" s="1320"/>
      <c r="Z416" s="1320"/>
      <c r="AA416" s="1320"/>
      <c r="AB416" s="1320"/>
      <c r="AC416" s="1320"/>
      <c r="AD416" s="1320"/>
      <c r="AE416" s="1320"/>
      <c r="AF416" s="1320"/>
      <c r="AG416" s="1320"/>
      <c r="AH416" s="1320"/>
      <c r="AI416" s="1320"/>
      <c r="AJ416" s="1320"/>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1203</v>
      </c>
      <c r="I419" s="1423" t="s">
        <v>2647</v>
      </c>
      <c r="J419" s="1423"/>
      <c r="K419" s="1423"/>
      <c r="L419" s="1423"/>
      <c r="M419" s="1423"/>
      <c r="N419" s="1423"/>
      <c r="O419" s="1423"/>
      <c r="P419" s="1423"/>
      <c r="Q419" s="1423"/>
      <c r="R419" s="1423"/>
      <c r="S419" s="1423"/>
      <c r="T419" s="1423"/>
      <c r="U419" s="1423"/>
      <c r="V419" s="1423"/>
      <c r="W419" s="1423"/>
      <c r="X419" s="1423"/>
      <c r="Y419" s="1423"/>
      <c r="Z419" s="1423"/>
      <c r="AA419" s="1423"/>
      <c r="AB419" s="1423"/>
      <c r="AC419" s="1423"/>
      <c r="AD419" s="1423"/>
      <c r="AE419" s="1423"/>
    </row>
    <row r="420" spans="1:39" ht="12.95" customHeight="1">
      <c r="E420" t="s">
        <v>106</v>
      </c>
      <c r="R420" s="1269" t="s">
        <v>544</v>
      </c>
      <c r="S420" s="1269"/>
      <c r="AC420" s="27" t="s">
        <v>569</v>
      </c>
      <c r="AD420" s="1446">
        <v>5</v>
      </c>
      <c r="AE420" s="1446"/>
    </row>
    <row r="421" spans="1:39" ht="12.95" customHeight="1">
      <c r="E421" t="s">
        <v>107</v>
      </c>
      <c r="R421" s="1269" t="s">
        <v>590</v>
      </c>
      <c r="S421" s="1269"/>
      <c r="AC421" s="27" t="s">
        <v>569</v>
      </c>
      <c r="AD421" s="1446"/>
      <c r="AE421" s="1446"/>
    </row>
    <row r="422" spans="1:39" ht="12.95" customHeight="1">
      <c r="E422" t="s">
        <v>108</v>
      </c>
      <c r="S422" s="1269" t="s">
        <v>590</v>
      </c>
      <c r="T422" s="1269"/>
    </row>
    <row r="423" spans="1:39" ht="12.95" customHeight="1">
      <c r="E423" t="s">
        <v>170</v>
      </c>
      <c r="H423" s="1776" t="s">
        <v>2745</v>
      </c>
      <c r="I423" s="1776"/>
      <c r="J423" s="1776"/>
      <c r="K423" s="1776"/>
      <c r="L423" s="1776"/>
      <c r="M423" s="1776"/>
      <c r="N423" s="1776"/>
      <c r="O423" s="1776"/>
      <c r="P423" s="1776"/>
      <c r="Q423" s="1776"/>
      <c r="R423" s="1776"/>
      <c r="S423" s="1776"/>
      <c r="T423" s="1776"/>
      <c r="U423" s="1776"/>
      <c r="V423" s="1776"/>
      <c r="W423" s="1776"/>
      <c r="X423" s="1776"/>
      <c r="Y423" s="1776"/>
      <c r="Z423" s="1776"/>
      <c r="AA423" s="1776"/>
      <c r="AB423" s="1776"/>
      <c r="AC423" s="1776"/>
      <c r="AD423" s="1776"/>
      <c r="AE423" s="1776"/>
    </row>
    <row r="424" spans="1:39" ht="12.95" customHeight="1">
      <c r="H424" s="1777"/>
      <c r="I424" s="1777"/>
      <c r="J424" s="1777"/>
      <c r="K424" s="1777"/>
      <c r="L424" s="1777"/>
      <c r="M424" s="1777"/>
      <c r="N424" s="1777"/>
      <c r="O424" s="1777"/>
      <c r="P424" s="1777"/>
      <c r="Q424" s="1777"/>
      <c r="R424" s="1777"/>
      <c r="S424" s="1777"/>
      <c r="T424" s="1777"/>
      <c r="U424" s="1777"/>
      <c r="V424" s="1777"/>
      <c r="W424" s="1777"/>
      <c r="X424" s="1777"/>
      <c r="Y424" s="1777"/>
      <c r="Z424" s="1777"/>
      <c r="AA424" s="1777"/>
      <c r="AB424" s="1777"/>
      <c r="AC424" s="1777"/>
      <c r="AD424" s="1777"/>
      <c r="AE424" s="1777"/>
    </row>
    <row r="425" spans="1:39" ht="12.95" customHeight="1"/>
    <row r="426" spans="1:39" ht="12.95" customHeight="1">
      <c r="A426" s="2" t="s">
        <v>589</v>
      </c>
      <c r="B426" s="2"/>
      <c r="C426" s="2"/>
      <c r="D426" s="2" t="s">
        <v>114</v>
      </c>
      <c r="AF426" s="2" t="s">
        <v>956</v>
      </c>
    </row>
    <row r="427" spans="1:39" ht="12.95" customHeight="1">
      <c r="E427" s="1694"/>
      <c r="F427" s="1694"/>
      <c r="G427" s="1694"/>
      <c r="H427" s="13" t="s">
        <v>115</v>
      </c>
      <c r="I427" s="1694"/>
      <c r="J427" s="1694"/>
      <c r="K427" s="1694"/>
      <c r="L427" t="s">
        <v>116</v>
      </c>
      <c r="N427" s="27" t="s">
        <v>574</v>
      </c>
      <c r="P427" s="1697">
        <v>2.4994100000000001</v>
      </c>
      <c r="Q427" s="1697"/>
      <c r="R427" s="1697"/>
      <c r="S427" t="s">
        <v>117</v>
      </c>
      <c r="W427" s="1752">
        <f>IF(E427&gt;0,(E427*I427),(P427*43560))</f>
        <v>108874.2996</v>
      </c>
      <c r="X427" s="1752"/>
      <c r="Y427" s="1752"/>
      <c r="Z427" t="s">
        <v>118</v>
      </c>
      <c r="AF427" s="1700">
        <f>IFERROR(IF(P427&gt;0,(AG446/P427),(AG446/(W427/43560))),0)</f>
        <v>82.019356568150073</v>
      </c>
      <c r="AG427" s="1700"/>
      <c r="AH427" s="1700"/>
      <c r="AM427" s="3"/>
    </row>
    <row r="428" spans="1:39" ht="12.95" customHeight="1">
      <c r="E428" t="s">
        <v>51</v>
      </c>
    </row>
    <row r="429" spans="1:39" ht="12.95" customHeight="1">
      <c r="E429" s="1770"/>
      <c r="F429" s="1770"/>
      <c r="G429" s="1770"/>
      <c r="H429" s="1770"/>
      <c r="I429" s="1770"/>
      <c r="J429" s="1770"/>
      <c r="K429" s="1770"/>
      <c r="L429" s="1770"/>
      <c r="M429" s="1770"/>
      <c r="N429" s="1770"/>
      <c r="O429" s="1770"/>
      <c r="P429" s="1770"/>
      <c r="Q429" s="1770"/>
      <c r="R429" s="1770"/>
      <c r="S429" s="1770"/>
      <c r="T429" s="1770"/>
      <c r="U429" s="1770"/>
      <c r="V429" s="1770"/>
      <c r="W429" s="1770"/>
      <c r="X429" s="1770"/>
      <c r="Y429" s="1770"/>
      <c r="Z429" s="1770"/>
      <c r="AA429" s="1770"/>
      <c r="AB429" s="1770"/>
      <c r="AC429" s="1770"/>
      <c r="AD429" s="1770"/>
      <c r="AE429" s="1770"/>
      <c r="AF429" s="1770"/>
      <c r="AG429" s="1770"/>
      <c r="AH429" s="1770"/>
      <c r="AI429" s="1770"/>
      <c r="AJ429" s="1770"/>
    </row>
    <row r="430" spans="1:39" ht="12.95" customHeight="1">
      <c r="E430" s="118" t="s">
        <v>1723</v>
      </c>
      <c r="F430" s="1008"/>
      <c r="G430" s="1008"/>
      <c r="H430" s="1008"/>
      <c r="I430" s="1749">
        <v>2.0299999999999998</v>
      </c>
      <c r="J430" s="1749"/>
      <c r="K430" s="1749"/>
      <c r="L430" s="1008"/>
      <c r="M430" s="118"/>
      <c r="N430" s="1008"/>
      <c r="O430" s="1008"/>
      <c r="P430" s="1701">
        <f>(DU763+DU786+DU808)/I430</f>
        <v>161.08374384236456</v>
      </c>
      <c r="Q430" s="1701"/>
      <c r="R430" s="1701"/>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269">
        <v>1</v>
      </c>
      <c r="Q433" s="1269"/>
      <c r="S433" t="s">
        <v>189</v>
      </c>
      <c r="AE433" s="1269">
        <v>1</v>
      </c>
      <c r="AF433" s="1269"/>
    </row>
    <row r="434" spans="1:36" ht="12.95" customHeight="1">
      <c r="E434" t="s">
        <v>190</v>
      </c>
      <c r="P434" s="1269">
        <v>0</v>
      </c>
      <c r="Q434" s="1269"/>
      <c r="S434" t="s">
        <v>131</v>
      </c>
      <c r="AE434" s="1269" t="s">
        <v>590</v>
      </c>
      <c r="AF434" s="1269"/>
    </row>
    <row r="435" spans="1:36" ht="12.95" customHeight="1">
      <c r="F435" s="28" t="s">
        <v>132</v>
      </c>
    </row>
    <row r="436" spans="1:36" ht="12.95" customHeight="1">
      <c r="F436" s="1739" t="s">
        <v>2780</v>
      </c>
      <c r="G436" s="1739"/>
      <c r="H436" s="1739"/>
      <c r="I436" s="1739"/>
      <c r="J436" s="1739"/>
      <c r="K436" s="1739"/>
      <c r="L436" s="1739"/>
      <c r="M436" s="1739"/>
      <c r="N436" s="1739"/>
      <c r="O436" s="1739"/>
      <c r="P436" s="1739"/>
      <c r="Q436" s="1739"/>
      <c r="R436" s="1739"/>
      <c r="S436" s="1739"/>
      <c r="T436" s="1739"/>
      <c r="U436" s="1739"/>
      <c r="V436" s="1739"/>
      <c r="W436" s="1739"/>
      <c r="X436" s="1739"/>
      <c r="Y436" s="1739"/>
      <c r="Z436" s="1739"/>
      <c r="AA436" s="1739"/>
      <c r="AB436" s="1739"/>
      <c r="AC436" s="1739"/>
      <c r="AD436" s="1739"/>
      <c r="AE436" s="1739"/>
      <c r="AF436" s="1739"/>
      <c r="AG436" s="1739"/>
      <c r="AH436" s="1739"/>
    </row>
    <row r="437" spans="1:36" ht="12.95" customHeight="1">
      <c r="F437" s="1740"/>
      <c r="G437" s="1740"/>
      <c r="H437" s="1740"/>
      <c r="I437" s="1740"/>
      <c r="J437" s="1740"/>
      <c r="K437" s="1740"/>
      <c r="L437" s="1740"/>
      <c r="M437" s="1740"/>
      <c r="N437" s="1740"/>
      <c r="O437" s="1740"/>
      <c r="P437" s="1740"/>
      <c r="Q437" s="1740"/>
      <c r="R437" s="1740"/>
      <c r="S437" s="1740"/>
      <c r="T437" s="1740"/>
      <c r="U437" s="1740"/>
      <c r="V437" s="1740"/>
      <c r="W437" s="1740"/>
      <c r="X437" s="1740"/>
      <c r="Y437" s="1740"/>
      <c r="Z437" s="1740"/>
      <c r="AA437" s="1740"/>
      <c r="AB437" s="1740"/>
      <c r="AC437" s="1740"/>
      <c r="AD437" s="1740"/>
      <c r="AE437" s="1740"/>
      <c r="AF437" s="1740"/>
      <c r="AG437" s="1740"/>
      <c r="AH437" s="1740"/>
    </row>
    <row r="438" spans="1:36" ht="12.95" customHeight="1">
      <c r="E438" t="s">
        <v>607</v>
      </c>
      <c r="P438" s="1"/>
      <c r="Q438" s="1269" t="s">
        <v>544</v>
      </c>
      <c r="R438" s="1269"/>
    </row>
    <row r="439" spans="1:36" ht="12.95" customHeight="1">
      <c r="F439" t="s">
        <v>608</v>
      </c>
      <c r="P439" s="1"/>
      <c r="Q439" s="1"/>
      <c r="AF439" s="1269" t="s">
        <v>590</v>
      </c>
      <c r="AG439" s="1779"/>
    </row>
    <row r="440" spans="1:36" ht="12.95" customHeight="1"/>
    <row r="441" spans="1:36" ht="12.95" customHeight="1">
      <c r="A441" s="2"/>
      <c r="B441" s="2"/>
      <c r="C441" s="2"/>
      <c r="E441" s="4" t="s">
        <v>308</v>
      </c>
      <c r="Z441" s="1269" t="s">
        <v>668</v>
      </c>
      <c r="AA441" s="1269"/>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269" t="s">
        <v>590</v>
      </c>
      <c r="AA443" s="1269"/>
    </row>
    <row r="444" spans="1:36" ht="12.95" customHeight="1"/>
    <row r="445" spans="1:36" ht="12.95" customHeight="1">
      <c r="A445" s="2" t="s">
        <v>466</v>
      </c>
      <c r="B445" s="2"/>
      <c r="C445" s="2"/>
      <c r="D445" s="2" t="s">
        <v>763</v>
      </c>
      <c r="AF445" s="48"/>
    </row>
    <row r="446" spans="1:36" ht="12.95" customHeight="1">
      <c r="D446" s="1588" t="s">
        <v>43</v>
      </c>
      <c r="E446" s="1560"/>
      <c r="F446" s="1560"/>
      <c r="G446" s="1560"/>
      <c r="H446" s="1560"/>
      <c r="I446" s="1560"/>
      <c r="J446" s="1560"/>
      <c r="K446" s="1560"/>
      <c r="L446" s="1560"/>
      <c r="M446" s="1560"/>
      <c r="N446" s="1560"/>
      <c r="O446" s="1560"/>
      <c r="P446" s="1560"/>
      <c r="Q446" s="1560"/>
      <c r="R446" s="1560"/>
      <c r="S446" s="1560"/>
      <c r="T446" s="1560"/>
      <c r="U446" s="1560"/>
      <c r="V446" s="1560"/>
      <c r="W446" s="1560"/>
      <c r="X446" s="1560"/>
      <c r="Y446" s="1560"/>
      <c r="Z446" s="1560"/>
      <c r="AA446" s="1560"/>
      <c r="AB446" s="1560"/>
      <c r="AC446" s="1560"/>
      <c r="AD446" s="1560"/>
      <c r="AE446" s="1560"/>
      <c r="AF446" s="1750"/>
      <c r="AG446" s="1710">
        <v>205</v>
      </c>
      <c r="AH446" s="1710"/>
      <c r="AI446" s="1710"/>
      <c r="AJ446" s="1710"/>
    </row>
    <row r="447" spans="1:36" ht="12.95" customHeight="1">
      <c r="D447" s="1687" t="s">
        <v>1221</v>
      </c>
      <c r="E447" s="1688"/>
      <c r="F447" s="1688"/>
      <c r="G447" s="1688"/>
      <c r="H447" s="1688"/>
      <c r="I447" s="1688"/>
      <c r="J447" s="1688"/>
      <c r="K447" s="1688"/>
      <c r="L447" s="1688"/>
      <c r="M447" s="1688"/>
      <c r="N447" s="1688"/>
      <c r="O447" s="1688"/>
      <c r="P447" s="1688"/>
      <c r="Q447" s="1688"/>
      <c r="R447" s="1688"/>
      <c r="S447" s="1688"/>
      <c r="T447" s="1688"/>
      <c r="U447" s="1688"/>
      <c r="V447" s="1688"/>
      <c r="W447" s="1688"/>
      <c r="X447" s="1688"/>
      <c r="Y447" s="1688"/>
      <c r="Z447" s="1688"/>
      <c r="AA447" s="1688"/>
      <c r="AB447" s="1688"/>
      <c r="AC447" s="1688"/>
      <c r="AD447" s="1688"/>
      <c r="AE447" s="1688"/>
      <c r="AF447" s="1689"/>
      <c r="AG447" s="1754">
        <v>0</v>
      </c>
      <c r="AH447" s="1327"/>
      <c r="AI447" s="1327"/>
      <c r="AJ447" s="1327"/>
    </row>
    <row r="448" spans="1:36" ht="12.95" customHeight="1">
      <c r="D448" s="1687" t="s">
        <v>1030</v>
      </c>
      <c r="E448" s="1688"/>
      <c r="F448" s="1688"/>
      <c r="G448" s="1688"/>
      <c r="H448" s="1688"/>
      <c r="I448" s="1688"/>
      <c r="J448" s="1688"/>
      <c r="K448" s="1688"/>
      <c r="L448" s="1688"/>
      <c r="M448" s="1688"/>
      <c r="N448" s="1688"/>
      <c r="O448" s="1688"/>
      <c r="P448" s="1688"/>
      <c r="Q448" s="1688"/>
      <c r="R448" s="1688"/>
      <c r="S448" s="1688"/>
      <c r="T448" s="1688"/>
      <c r="U448" s="1688"/>
      <c r="V448" s="1688"/>
      <c r="W448" s="1688"/>
      <c r="X448" s="1688"/>
      <c r="Y448" s="1688"/>
      <c r="Z448" s="1688"/>
      <c r="AA448" s="1688"/>
      <c r="AB448" s="1688"/>
      <c r="AC448" s="1688"/>
      <c r="AD448" s="1688"/>
      <c r="AE448" s="1688"/>
      <c r="AF448" s="1689"/>
      <c r="AG448" s="1710">
        <v>203</v>
      </c>
      <c r="AH448" s="1710"/>
      <c r="AI448" s="1710"/>
      <c r="AJ448" s="1710"/>
    </row>
    <row r="449" spans="4:55" ht="12.95" customHeight="1">
      <c r="D449" s="1687" t="s">
        <v>1031</v>
      </c>
      <c r="E449" s="1688"/>
      <c r="F449" s="1688"/>
      <c r="G449" s="1688"/>
      <c r="H449" s="1688"/>
      <c r="I449" s="1688"/>
      <c r="J449" s="1688"/>
      <c r="K449" s="1688"/>
      <c r="L449" s="1688"/>
      <c r="M449" s="1688"/>
      <c r="N449" s="1688"/>
      <c r="O449" s="1688"/>
      <c r="P449" s="1688"/>
      <c r="Q449" s="1688"/>
      <c r="R449" s="1688"/>
      <c r="S449" s="1688"/>
      <c r="T449" s="1688"/>
      <c r="U449" s="1688"/>
      <c r="V449" s="1688"/>
      <c r="W449" s="1688"/>
      <c r="X449" s="1688"/>
      <c r="Y449" s="1688"/>
      <c r="Z449" s="1688"/>
      <c r="AA449" s="1688"/>
      <c r="AB449" s="1688"/>
      <c r="AC449" s="1688"/>
      <c r="AD449" s="1688"/>
      <c r="AE449" s="1688"/>
      <c r="AF449" s="1689"/>
      <c r="AG449" s="1710">
        <v>203</v>
      </c>
      <c r="AH449" s="1710"/>
      <c r="AI449" s="1710"/>
      <c r="AJ449" s="1710"/>
    </row>
    <row r="450" spans="4:55" ht="12.95" customHeight="1">
      <c r="D450" s="1687" t="s">
        <v>1033</v>
      </c>
      <c r="E450" s="1688"/>
      <c r="F450" s="1688"/>
      <c r="G450" s="1688"/>
      <c r="H450" s="1688"/>
      <c r="I450" s="1688"/>
      <c r="J450" s="1688"/>
      <c r="K450" s="1688"/>
      <c r="L450" s="1688"/>
      <c r="M450" s="1688"/>
      <c r="N450" s="1688"/>
      <c r="O450" s="1688"/>
      <c r="P450" s="1688"/>
      <c r="Q450" s="1688"/>
      <c r="R450" s="1688"/>
      <c r="S450" s="1688"/>
      <c r="T450" s="1688"/>
      <c r="U450" s="1688"/>
      <c r="V450" s="1688"/>
      <c r="W450" s="1688"/>
      <c r="X450" s="1688"/>
      <c r="Y450" s="1688"/>
      <c r="Z450" s="1688"/>
      <c r="AA450" s="1688"/>
      <c r="AB450" s="1688"/>
      <c r="AC450" s="1688"/>
      <c r="AD450" s="1688"/>
      <c r="AE450" s="1688"/>
      <c r="AF450" s="1689"/>
      <c r="AG450" s="1751">
        <f>IF(ISERROR(AG449/AG448),0,AG449/AG448)</f>
        <v>1</v>
      </c>
      <c r="AH450" s="1751"/>
      <c r="AI450" s="1751"/>
      <c r="AJ450" s="1751"/>
    </row>
    <row r="451" spans="4:55" ht="12.95" customHeight="1">
      <c r="D451" s="1687" t="s">
        <v>1032</v>
      </c>
      <c r="E451" s="1688"/>
      <c r="F451" s="1688"/>
      <c r="G451" s="1688"/>
      <c r="H451" s="1688"/>
      <c r="I451" s="1688"/>
      <c r="J451" s="1688"/>
      <c r="K451" s="1688"/>
      <c r="L451" s="1688"/>
      <c r="M451" s="1688"/>
      <c r="N451" s="1688"/>
      <c r="O451" s="1688"/>
      <c r="P451" s="1688"/>
      <c r="Q451" s="1688"/>
      <c r="R451" s="1688"/>
      <c r="S451" s="1688"/>
      <c r="T451" s="1688"/>
      <c r="U451" s="1688"/>
      <c r="V451" s="1688"/>
      <c r="W451" s="1688"/>
      <c r="X451" s="1688"/>
      <c r="Y451" s="1688"/>
      <c r="Z451" s="1688"/>
      <c r="AA451" s="1688"/>
      <c r="AB451" s="1688"/>
      <c r="AC451" s="1688"/>
      <c r="AD451" s="1688"/>
      <c r="AE451" s="1688"/>
      <c r="AF451" s="1689"/>
      <c r="AG451" s="1698">
        <f>34778+85301+1364-1382</f>
        <v>120061</v>
      </c>
      <c r="AH451" s="1698"/>
      <c r="AI451" s="1698"/>
      <c r="AJ451" s="1698"/>
    </row>
    <row r="452" spans="4:55" ht="12.95" customHeight="1">
      <c r="D452" s="1687" t="s">
        <v>1034</v>
      </c>
      <c r="E452" s="1688"/>
      <c r="F452" s="1688"/>
      <c r="G452" s="1688"/>
      <c r="H452" s="1688"/>
      <c r="I452" s="1688"/>
      <c r="J452" s="1688"/>
      <c r="K452" s="1688"/>
      <c r="L452" s="1688"/>
      <c r="M452" s="1688"/>
      <c r="N452" s="1688"/>
      <c r="O452" s="1688"/>
      <c r="P452" s="1688"/>
      <c r="Q452" s="1688"/>
      <c r="R452" s="1688"/>
      <c r="S452" s="1688"/>
      <c r="T452" s="1688"/>
      <c r="U452" s="1688"/>
      <c r="V452" s="1688"/>
      <c r="W452" s="1688"/>
      <c r="X452" s="1688"/>
      <c r="Y452" s="1688"/>
      <c r="Z452" s="1688"/>
      <c r="AA452" s="1688"/>
      <c r="AB452" s="1688"/>
      <c r="AC452" s="1688"/>
      <c r="AD452" s="1688"/>
      <c r="AE452" s="1688"/>
      <c r="AF452" s="1689"/>
      <c r="AG452" s="1698">
        <f>AG451</f>
        <v>120061</v>
      </c>
      <c r="AH452" s="1698"/>
      <c r="AI452" s="1698"/>
      <c r="AJ452" s="1698"/>
    </row>
    <row r="453" spans="4:55" ht="12.95" customHeight="1">
      <c r="D453" s="1687" t="s">
        <v>1035</v>
      </c>
      <c r="E453" s="1688"/>
      <c r="F453" s="1688"/>
      <c r="G453" s="1688"/>
      <c r="H453" s="1688"/>
      <c r="I453" s="1688"/>
      <c r="J453" s="1688"/>
      <c r="K453" s="1688"/>
      <c r="L453" s="1688"/>
      <c r="M453" s="1688"/>
      <c r="N453" s="1688"/>
      <c r="O453" s="1688"/>
      <c r="P453" s="1688"/>
      <c r="Q453" s="1688"/>
      <c r="R453" s="1688"/>
      <c r="S453" s="1688"/>
      <c r="T453" s="1688"/>
      <c r="U453" s="1688"/>
      <c r="V453" s="1688"/>
      <c r="W453" s="1688"/>
      <c r="X453" s="1688"/>
      <c r="Y453" s="1688"/>
      <c r="Z453" s="1688"/>
      <c r="AA453" s="1688"/>
      <c r="AB453" s="1688"/>
      <c r="AC453" s="1688"/>
      <c r="AD453" s="1688"/>
      <c r="AE453" s="1688"/>
      <c r="AF453" s="1689"/>
      <c r="AG453" s="1751">
        <f>IF(ISERROR(AG452/AG451),0,AG452/AG451)</f>
        <v>1</v>
      </c>
      <c r="AH453" s="1751"/>
      <c r="AI453" s="1751"/>
      <c r="AJ453" s="1751"/>
    </row>
    <row r="454" spans="4:55" ht="12.95" customHeight="1">
      <c r="D454" s="1687" t="s">
        <v>1036</v>
      </c>
      <c r="E454" s="1688"/>
      <c r="F454" s="1688"/>
      <c r="G454" s="1688"/>
      <c r="H454" s="1688"/>
      <c r="I454" s="1688"/>
      <c r="J454" s="1688"/>
      <c r="K454" s="1688"/>
      <c r="L454" s="1688"/>
      <c r="M454" s="1688"/>
      <c r="N454" s="1688"/>
      <c r="O454" s="1688"/>
      <c r="P454" s="1688"/>
      <c r="Q454" s="1688"/>
      <c r="R454" s="1688"/>
      <c r="S454" s="1688"/>
      <c r="T454" s="1688"/>
      <c r="U454" s="1688"/>
      <c r="V454" s="1688"/>
      <c r="W454" s="1688"/>
      <c r="X454" s="1688"/>
      <c r="Y454" s="1688"/>
      <c r="Z454" s="1688"/>
      <c r="AA454" s="1688"/>
      <c r="AB454" s="1688"/>
      <c r="AC454" s="1688"/>
      <c r="AD454" s="1688"/>
      <c r="AE454" s="1688"/>
      <c r="AF454" s="1689"/>
      <c r="AG454" s="1751">
        <f>MIN(IF(AG450&gt;AG453,AG453,AG450),1)</f>
        <v>1</v>
      </c>
      <c r="AH454" s="1751"/>
      <c r="AI454" s="1751"/>
      <c r="AJ454" s="1751"/>
    </row>
    <row r="455" spans="4:55" ht="12.95" customHeight="1">
      <c r="D455" s="1687" t="s">
        <v>2041</v>
      </c>
      <c r="E455" s="1560"/>
      <c r="F455" s="1560"/>
      <c r="G455" s="1560"/>
      <c r="H455" s="1560"/>
      <c r="I455" s="1560"/>
      <c r="J455" s="1560"/>
      <c r="K455" s="1560"/>
      <c r="L455" s="1560"/>
      <c r="M455" s="1560"/>
      <c r="N455" s="1560"/>
      <c r="O455" s="1560"/>
      <c r="P455" s="1560"/>
      <c r="Q455" s="1560"/>
      <c r="R455" s="1560"/>
      <c r="S455" s="1560"/>
      <c r="T455" s="1560"/>
      <c r="U455" s="1560"/>
      <c r="V455" s="1560"/>
      <c r="W455" s="1560"/>
      <c r="X455" s="1560"/>
      <c r="Y455" s="1560"/>
      <c r="Z455" s="1560"/>
      <c r="AA455" s="1560"/>
      <c r="AB455" s="1560"/>
      <c r="AC455" s="1560"/>
      <c r="AD455" s="1560"/>
      <c r="AE455" s="1560"/>
      <c r="AF455" s="1750"/>
      <c r="AG455" s="1698">
        <v>8092</v>
      </c>
      <c r="AH455" s="1698"/>
      <c r="AI455" s="1698"/>
      <c r="AJ455" s="1698"/>
      <c r="AZ455" s="34"/>
      <c r="BA455" s="34"/>
      <c r="BB455" s="34"/>
      <c r="BC455" s="34"/>
    </row>
    <row r="456" spans="4:55" ht="12.95" customHeight="1">
      <c r="D456" s="1588" t="s">
        <v>568</v>
      </c>
      <c r="E456" s="1560"/>
      <c r="F456" s="1560"/>
      <c r="G456" s="1560"/>
      <c r="H456" s="1560"/>
      <c r="I456" s="1560"/>
      <c r="J456" s="1560"/>
      <c r="K456" s="1560"/>
      <c r="L456" s="1560"/>
      <c r="M456" s="1560"/>
      <c r="N456" s="1560"/>
      <c r="O456" s="1560"/>
      <c r="P456" s="1560"/>
      <c r="Q456" s="1560"/>
      <c r="R456" s="1560"/>
      <c r="S456" s="1560"/>
      <c r="T456" s="1560"/>
      <c r="U456" s="1560"/>
      <c r="V456" s="1560"/>
      <c r="W456" s="1560"/>
      <c r="X456" s="1560"/>
      <c r="Y456" s="1560"/>
      <c r="Z456" s="1560"/>
      <c r="AA456" s="1560"/>
      <c r="AB456" s="1560"/>
      <c r="AC456" s="1560"/>
      <c r="AD456" s="1560"/>
      <c r="AE456" s="1560"/>
      <c r="AF456" s="1750"/>
      <c r="AG456" s="1698">
        <v>0</v>
      </c>
      <c r="AH456" s="1698"/>
      <c r="AI456" s="1698"/>
      <c r="AJ456" s="1698"/>
      <c r="AZ456" s="3"/>
      <c r="BA456" s="3"/>
      <c r="BB456" s="3"/>
      <c r="BC456" s="3"/>
    </row>
    <row r="457" spans="4:55" ht="12.95" customHeight="1">
      <c r="D457" s="1687" t="s">
        <v>1204</v>
      </c>
      <c r="E457" s="1560"/>
      <c r="F457" s="1560"/>
      <c r="G457" s="1560"/>
      <c r="H457" s="1560"/>
      <c r="I457" s="1560"/>
      <c r="J457" s="1560"/>
      <c r="K457" s="1560"/>
      <c r="L457" s="1560"/>
      <c r="M457" s="1560"/>
      <c r="N457" s="1560"/>
      <c r="O457" s="1560"/>
      <c r="P457" s="1560"/>
      <c r="Q457" s="1560"/>
      <c r="R457" s="1560"/>
      <c r="S457" s="1560"/>
      <c r="T457" s="1560"/>
      <c r="U457" s="1560"/>
      <c r="V457" s="1560"/>
      <c r="W457" s="1560"/>
      <c r="X457" s="1560"/>
      <c r="Y457" s="1560"/>
      <c r="Z457" s="1560"/>
      <c r="AA457" s="1560"/>
      <c r="AB457" s="1560"/>
      <c r="AC457" s="1560"/>
      <c r="AD457" s="1560"/>
      <c r="AE457" s="1560"/>
      <c r="AF457" s="1750"/>
      <c r="AG457" s="1698">
        <v>20244</v>
      </c>
      <c r="AH457" s="1698"/>
      <c r="AI457" s="1698"/>
      <c r="AJ457" s="1698"/>
      <c r="AZ457" s="3"/>
      <c r="BA457" s="3"/>
      <c r="BB457" s="3"/>
      <c r="BC457" s="3"/>
    </row>
    <row r="458" spans="4:55" ht="12.95" customHeight="1">
      <c r="D458" s="1687" t="s">
        <v>1037</v>
      </c>
      <c r="E458" s="1560"/>
      <c r="F458" s="1560"/>
      <c r="G458" s="1560"/>
      <c r="H458" s="1560"/>
      <c r="I458" s="1560"/>
      <c r="J458" s="1560"/>
      <c r="K458" s="1560"/>
      <c r="L458" s="1560"/>
      <c r="M458" s="1560"/>
      <c r="N458" s="1560"/>
      <c r="O458" s="1560"/>
      <c r="P458" s="1560"/>
      <c r="Q458" s="1560"/>
      <c r="R458" s="1560"/>
      <c r="S458" s="1560"/>
      <c r="T458" s="1560"/>
      <c r="U458" s="1560"/>
      <c r="V458" s="1560"/>
      <c r="W458" s="1560"/>
      <c r="X458" s="1560"/>
      <c r="Y458" s="1560"/>
      <c r="Z458" s="1560"/>
      <c r="AA458" s="1560"/>
      <c r="AB458" s="1560"/>
      <c r="AC458" s="1560"/>
      <c r="AD458" s="1560"/>
      <c r="AE458" s="1560"/>
      <c r="AF458" s="1750"/>
      <c r="AG458" s="1698">
        <v>0</v>
      </c>
      <c r="AH458" s="1698"/>
      <c r="AI458" s="1698"/>
      <c r="AJ458" s="1698"/>
      <c r="BB458" s="3"/>
      <c r="BC458" s="3"/>
    </row>
    <row r="459" spans="4:55" ht="12.95" customHeight="1">
      <c r="D459" s="1707" t="s">
        <v>1038</v>
      </c>
      <c r="E459" s="1708"/>
      <c r="F459" s="1708"/>
      <c r="G459" s="1708"/>
      <c r="H459" s="1708"/>
      <c r="I459" s="1708"/>
      <c r="J459" s="1708"/>
      <c r="K459" s="1708"/>
      <c r="L459" s="1708"/>
      <c r="M459" s="1708"/>
      <c r="N459" s="1708"/>
      <c r="O459" s="1708"/>
      <c r="P459" s="1708"/>
      <c r="Q459" s="1708"/>
      <c r="R459" s="1708"/>
      <c r="S459" s="1708"/>
      <c r="T459" s="1708"/>
      <c r="U459" s="1708"/>
      <c r="V459" s="1708"/>
      <c r="W459" s="1708"/>
      <c r="X459" s="1708"/>
      <c r="Y459" s="1708"/>
      <c r="Z459" s="1708"/>
      <c r="AA459" s="1708"/>
      <c r="AB459" s="1708"/>
      <c r="AC459" s="1708"/>
      <c r="AD459" s="1708"/>
      <c r="AE459" s="1708"/>
      <c r="AF459" s="1709"/>
      <c r="AG459" s="1771">
        <f>AG451+AG455+AG457+AG458</f>
        <v>148397</v>
      </c>
      <c r="AH459" s="1771"/>
      <c r="AI459" s="1771"/>
      <c r="AJ459" s="1771"/>
      <c r="AZ459" s="3"/>
      <c r="BA459" s="3"/>
      <c r="BB459" s="3"/>
      <c r="BC459" s="3"/>
    </row>
    <row r="460" spans="4:55" ht="12.95" customHeight="1">
      <c r="D460" s="1763" t="s">
        <v>1205</v>
      </c>
      <c r="E460" s="1763"/>
      <c r="F460" s="1763"/>
      <c r="G460" s="1763"/>
      <c r="H460" s="1763"/>
      <c r="I460" s="1763"/>
      <c r="J460" s="1763"/>
      <c r="K460" s="1763"/>
      <c r="L460" s="1763"/>
      <c r="M460" s="1763"/>
      <c r="N460" s="1763"/>
      <c r="O460" s="1763"/>
      <c r="P460" s="1763"/>
      <c r="Q460" s="1763"/>
      <c r="R460" s="1763"/>
      <c r="S460" s="1763"/>
      <c r="T460" s="1763"/>
      <c r="U460" s="1763"/>
      <c r="V460" s="1763"/>
      <c r="W460" s="1763"/>
      <c r="X460" s="1763"/>
      <c r="Y460" s="1763"/>
      <c r="Z460" s="1763"/>
      <c r="AA460" s="1763"/>
      <c r="AB460" s="1763"/>
      <c r="AC460" s="1763"/>
      <c r="AD460" s="1763"/>
      <c r="AE460" s="1763"/>
      <c r="AF460" s="1763"/>
      <c r="AG460" s="1763"/>
      <c r="AH460" s="1763"/>
      <c r="AI460" s="1763"/>
      <c r="AJ460" s="1763"/>
      <c r="AZ460" s="3"/>
      <c r="BA460" s="3"/>
      <c r="BB460" s="3"/>
      <c r="BC460" s="3"/>
    </row>
    <row r="461" spans="4:55" ht="12.95" customHeight="1">
      <c r="D461" s="1764"/>
      <c r="E461" s="1764"/>
      <c r="F461" s="1764"/>
      <c r="G461" s="1764"/>
      <c r="H461" s="1764"/>
      <c r="I461" s="1764"/>
      <c r="J461" s="1764"/>
      <c r="K461" s="1764"/>
      <c r="L461" s="1764"/>
      <c r="M461" s="1764"/>
      <c r="N461" s="1764"/>
      <c r="O461" s="1764"/>
      <c r="P461" s="1764"/>
      <c r="Q461" s="1764"/>
      <c r="R461" s="1764"/>
      <c r="S461" s="1764"/>
      <c r="T461" s="1764"/>
      <c r="U461" s="1764"/>
      <c r="V461" s="1764"/>
      <c r="W461" s="1764"/>
      <c r="X461" s="1764"/>
      <c r="Y461" s="1764"/>
      <c r="Z461" s="1764"/>
      <c r="AA461" s="1764"/>
      <c r="AB461" s="1764"/>
      <c r="AC461" s="1764"/>
      <c r="AD461" s="1764"/>
      <c r="AE461" s="1764"/>
      <c r="AF461" s="1764"/>
      <c r="AG461" s="1764"/>
      <c r="AH461" s="1764"/>
      <c r="AI461" s="1764"/>
      <c r="AJ461" s="1764"/>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59">
        <f>IF(AG446=0,"",'Sources and Uses Budget'!B105/Application!AG446)</f>
        <v>305398.8</v>
      </c>
      <c r="AD463" s="1759"/>
      <c r="AE463" s="1759"/>
      <c r="AF463" s="1759"/>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59">
        <f>IF(AG446=0,"",'Sources and Uses Budget'!C105/Application!AG446)</f>
        <v>305398.8</v>
      </c>
      <c r="AD464" s="1759"/>
      <c r="AE464" s="1759"/>
      <c r="AF464" s="1759"/>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59">
        <f>IF(AG446=0,"",('Sources and Uses Budget'!$S$107+'Sources and Uses Budget'!$T$107)/Application!AG446)</f>
        <v>255183.28780487805</v>
      </c>
      <c r="AD465" s="1759"/>
      <c r="AE465" s="1759"/>
      <c r="AF465" s="1759"/>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53" t="s">
        <v>2053</v>
      </c>
      <c r="E473" s="1685"/>
      <c r="F473" s="1685"/>
      <c r="G473" s="1685"/>
      <c r="H473" s="1685"/>
      <c r="I473" s="1685"/>
      <c r="J473" s="1685"/>
      <c r="K473" s="1685"/>
      <c r="L473" s="1685"/>
      <c r="M473" s="1685"/>
      <c r="N473" s="1685"/>
      <c r="O473" s="1685"/>
      <c r="P473" s="1685"/>
      <c r="Q473" s="1685"/>
      <c r="R473" s="1685"/>
      <c r="S473" s="1685"/>
      <c r="T473" s="1685"/>
      <c r="U473" s="1685"/>
      <c r="V473" s="1686"/>
      <c r="W473" s="1442">
        <v>0</v>
      </c>
      <c r="X473" s="1443"/>
      <c r="Y473" s="1444"/>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684" t="s">
        <v>692</v>
      </c>
      <c r="E474" s="1685"/>
      <c r="F474" s="1685"/>
      <c r="G474" s="1685"/>
      <c r="H474" s="1685"/>
      <c r="I474" s="1685"/>
      <c r="J474" s="1685"/>
      <c r="K474" s="1685"/>
      <c r="L474" s="1685"/>
      <c r="M474" s="1685"/>
      <c r="N474" s="1685"/>
      <c r="O474" s="1685"/>
      <c r="P474" s="1685"/>
      <c r="Q474" s="1685"/>
      <c r="R474" s="1685"/>
      <c r="S474" s="1685"/>
      <c r="T474" s="1685"/>
      <c r="U474" s="1685"/>
      <c r="V474" s="1686"/>
      <c r="W474" s="1442">
        <v>0</v>
      </c>
      <c r="X474" s="1443"/>
      <c r="Y474" s="1444"/>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684" t="s">
        <v>693</v>
      </c>
      <c r="E475" s="1685"/>
      <c r="F475" s="1685"/>
      <c r="G475" s="1685"/>
      <c r="H475" s="1685"/>
      <c r="I475" s="1685"/>
      <c r="J475" s="1685"/>
      <c r="K475" s="1685"/>
      <c r="L475" s="1685"/>
      <c r="M475" s="1685"/>
      <c r="N475" s="1685"/>
      <c r="O475" s="1685"/>
      <c r="P475" s="1685"/>
      <c r="Q475" s="1685"/>
      <c r="R475" s="1685"/>
      <c r="S475" s="1685"/>
      <c r="T475" s="1685"/>
      <c r="U475" s="1685"/>
      <c r="V475" s="1686"/>
      <c r="W475" s="1442">
        <v>0</v>
      </c>
      <c r="X475" s="1443"/>
      <c r="Y475" s="1444"/>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684" t="s">
        <v>694</v>
      </c>
      <c r="E476" s="1685"/>
      <c r="F476" s="1685"/>
      <c r="G476" s="1685"/>
      <c r="H476" s="1685"/>
      <c r="I476" s="1685"/>
      <c r="J476" s="1685"/>
      <c r="K476" s="1685"/>
      <c r="L476" s="1685"/>
      <c r="M476" s="1685"/>
      <c r="N476" s="1685"/>
      <c r="O476" s="1685"/>
      <c r="P476" s="1685"/>
      <c r="Q476" s="1685"/>
      <c r="R476" s="1685"/>
      <c r="S476" s="1685"/>
      <c r="T476" s="1685"/>
      <c r="U476" s="1685"/>
      <c r="V476" s="1686"/>
      <c r="W476" s="1442">
        <v>0</v>
      </c>
      <c r="X476" s="1443"/>
      <c r="Y476" s="144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684" t="s">
        <v>880</v>
      </c>
      <c r="E477" s="1685"/>
      <c r="F477" s="1685"/>
      <c r="G477" s="1685"/>
      <c r="H477" s="1685"/>
      <c r="I477" s="1685"/>
      <c r="J477" s="1685"/>
      <c r="K477" s="1685"/>
      <c r="L477" s="1685"/>
      <c r="M477" s="1685"/>
      <c r="N477" s="1685"/>
      <c r="O477" s="1685"/>
      <c r="P477" s="1685"/>
      <c r="Q477" s="1685"/>
      <c r="R477" s="1685"/>
      <c r="S477" s="1685"/>
      <c r="T477" s="1685"/>
      <c r="U477" s="1685"/>
      <c r="V477" s="1686"/>
      <c r="W477" s="1442">
        <v>0</v>
      </c>
      <c r="X477" s="1443"/>
      <c r="Y477" s="1444"/>
      <c r="Z477" s="184"/>
      <c r="AA477" s="184"/>
      <c r="AB477" s="184"/>
      <c r="AC477" s="184"/>
      <c r="AD477" s="177"/>
      <c r="AE477" s="177"/>
      <c r="AF477" s="177"/>
      <c r="AG477" s="177"/>
      <c r="AH477" s="177"/>
      <c r="AI477" s="177"/>
      <c r="AJ477" s="183"/>
      <c r="AZ477" s="3"/>
      <c r="BA477" s="3" t="str">
        <f>N599</f>
        <v>No</v>
      </c>
      <c r="BB477" s="3"/>
      <c r="BC477" s="3"/>
    </row>
    <row r="478" spans="1:55" ht="12.95" customHeight="1">
      <c r="A478" s="3"/>
      <c r="B478" s="3"/>
      <c r="C478" s="3"/>
      <c r="D478" s="1684" t="s">
        <v>695</v>
      </c>
      <c r="E478" s="1685"/>
      <c r="F478" s="1685"/>
      <c r="G478" s="1685"/>
      <c r="H478" s="1685"/>
      <c r="I478" s="1685"/>
      <c r="J478" s="1685"/>
      <c r="K478" s="1685"/>
      <c r="L478" s="1685"/>
      <c r="M478" s="1685"/>
      <c r="N478" s="1685"/>
      <c r="O478" s="1685"/>
      <c r="P478" s="1685"/>
      <c r="Q478" s="1685"/>
      <c r="R478" s="1685"/>
      <c r="S478" s="1685"/>
      <c r="T478" s="1685"/>
      <c r="U478" s="1685"/>
      <c r="V478" s="1686"/>
      <c r="W478" s="1442">
        <v>0</v>
      </c>
      <c r="X478" s="1443"/>
      <c r="Y478" s="1444"/>
      <c r="Z478" s="184"/>
      <c r="AA478" s="184"/>
      <c r="AB478" s="184"/>
      <c r="AC478" s="184"/>
      <c r="AD478" s="177"/>
      <c r="AE478" s="177"/>
      <c r="AF478" s="177"/>
      <c r="AG478" s="177"/>
      <c r="AH478" s="177"/>
      <c r="AI478" s="177"/>
      <c r="AJ478" s="183"/>
      <c r="AZ478" s="3"/>
      <c r="BA478" s="3" t="str">
        <f>AG599</f>
        <v>No</v>
      </c>
      <c r="BB478" s="3"/>
      <c r="BC478" s="3"/>
    </row>
    <row r="479" spans="1:55" ht="12.95" customHeight="1">
      <c r="A479" s="3"/>
      <c r="B479" s="3"/>
      <c r="C479" s="3"/>
      <c r="D479" s="1684" t="s">
        <v>1011</v>
      </c>
      <c r="E479" s="1685"/>
      <c r="F479" s="1685"/>
      <c r="G479" s="1685"/>
      <c r="H479" s="1685"/>
      <c r="I479" s="1685"/>
      <c r="J479" s="1685"/>
      <c r="K479" s="1685"/>
      <c r="L479" s="1685"/>
      <c r="M479" s="1685"/>
      <c r="N479" s="1685"/>
      <c r="O479" s="1685"/>
      <c r="P479" s="1685"/>
      <c r="Q479" s="1685"/>
      <c r="R479" s="1685"/>
      <c r="S479" s="1685"/>
      <c r="T479" s="1685"/>
      <c r="U479" s="1685"/>
      <c r="V479" s="1686"/>
      <c r="W479" s="1442">
        <v>0</v>
      </c>
      <c r="X479" s="1443"/>
      <c r="Y479" s="1444"/>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53" t="s">
        <v>2143</v>
      </c>
      <c r="E480" s="1787"/>
      <c r="F480" s="1787"/>
      <c r="G480" s="1787"/>
      <c r="H480" s="1787"/>
      <c r="I480" s="1787"/>
      <c r="J480" s="1787"/>
      <c r="K480" s="1787"/>
      <c r="L480" s="1787"/>
      <c r="M480" s="1787"/>
      <c r="N480" s="1787"/>
      <c r="O480" s="1787"/>
      <c r="P480" s="1787"/>
      <c r="Q480" s="1787"/>
      <c r="R480" s="1787"/>
      <c r="S480" s="1787"/>
      <c r="T480" s="1787"/>
      <c r="U480" s="1787"/>
      <c r="V480" s="1788"/>
      <c r="W480" s="1442">
        <v>0</v>
      </c>
      <c r="X480" s="1443"/>
      <c r="Y480" s="1444"/>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53" t="s">
        <v>1642</v>
      </c>
      <c r="E481" s="1685"/>
      <c r="F481" s="1685"/>
      <c r="G481" s="1685"/>
      <c r="H481" s="1685"/>
      <c r="I481" s="1685"/>
      <c r="J481" s="1685"/>
      <c r="K481" s="1685"/>
      <c r="L481" s="1685"/>
      <c r="M481" s="1685"/>
      <c r="N481" s="1685"/>
      <c r="O481" s="1685"/>
      <c r="P481" s="1685"/>
      <c r="Q481" s="1685"/>
      <c r="R481" s="1685"/>
      <c r="S481" s="1685"/>
      <c r="T481" s="1685"/>
      <c r="U481" s="1685"/>
      <c r="V481" s="1686"/>
      <c r="W481" s="1442">
        <v>51</v>
      </c>
      <c r="X481" s="1443"/>
      <c r="Y481" s="1444"/>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448"/>
      <c r="H482" s="1449"/>
      <c r="I482" s="1449"/>
      <c r="J482" s="1449"/>
      <c r="K482" s="1449"/>
      <c r="L482" s="1449"/>
      <c r="M482" s="1449"/>
      <c r="N482" s="1449"/>
      <c r="O482" s="1449"/>
      <c r="P482" s="1449"/>
      <c r="Q482" s="1449"/>
      <c r="R482" s="1449"/>
      <c r="S482" s="1449"/>
      <c r="T482" s="1449"/>
      <c r="U482" s="1449"/>
      <c r="V482" s="1450"/>
      <c r="W482" s="1442">
        <v>0</v>
      </c>
      <c r="X482" s="1443"/>
      <c r="Y482" s="1444"/>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No</v>
      </c>
      <c r="BB486" s="3"/>
      <c r="BC486" s="3"/>
    </row>
    <row r="487" spans="1:55" ht="12.95" customHeight="1">
      <c r="AU487" s="95"/>
      <c r="AV487" s="95"/>
      <c r="AW487" s="95"/>
      <c r="AX487" s="95"/>
      <c r="AY487" s="95"/>
      <c r="AZ487" s="3"/>
      <c r="BA487" s="3" t="str">
        <f>AG607</f>
        <v>No</v>
      </c>
      <c r="BB487" s="3"/>
      <c r="BC487" s="3"/>
    </row>
    <row r="488" spans="1:55" ht="12.95" customHeight="1">
      <c r="A488" s="1278" t="s">
        <v>809</v>
      </c>
      <c r="B488" s="1278"/>
      <c r="C488" s="1278"/>
      <c r="D488" s="1278"/>
      <c r="E488" s="1278"/>
      <c r="F488" s="1278"/>
      <c r="G488" s="1278"/>
      <c r="H488" s="1278"/>
      <c r="I488" s="1278"/>
      <c r="J488" s="1278"/>
      <c r="K488" s="1278"/>
      <c r="L488" s="1278"/>
      <c r="M488" s="1278"/>
      <c r="N488" s="1278"/>
      <c r="O488" s="1278"/>
      <c r="P488" s="1278"/>
      <c r="Q488" s="1278"/>
      <c r="R488" s="1278"/>
      <c r="S488" s="1278"/>
      <c r="T488" s="1278"/>
      <c r="U488" s="1278"/>
      <c r="V488" s="1278"/>
      <c r="W488" s="1278"/>
      <c r="X488" s="1278"/>
      <c r="Y488" s="1278"/>
      <c r="Z488" s="1278"/>
      <c r="AA488" s="1278"/>
      <c r="AB488" s="1278"/>
      <c r="AC488" s="1278"/>
      <c r="AD488" s="1278"/>
      <c r="AE488" s="1278"/>
      <c r="AF488" s="1278"/>
      <c r="AG488" s="1278"/>
      <c r="AH488" s="1278"/>
      <c r="AI488" s="1278"/>
      <c r="AJ488" s="1278"/>
      <c r="AK488" s="1278"/>
      <c r="AL488" s="1278"/>
      <c r="AM488" s="1278"/>
      <c r="AN488" s="1278"/>
      <c r="AO488" s="1278"/>
      <c r="AP488" s="1278"/>
      <c r="AQ488" s="1278"/>
      <c r="AR488" s="1278"/>
      <c r="AS488" s="1278"/>
      <c r="AT488" s="1278"/>
      <c r="AU488" s="95"/>
      <c r="AV488" s="95"/>
      <c r="AW488" s="95"/>
      <c r="AX488" s="95"/>
      <c r="AY488" s="95"/>
      <c r="AZ488" s="3"/>
      <c r="BB488" s="3"/>
      <c r="BC488" s="3"/>
    </row>
    <row r="489" spans="1:55" ht="12.95" customHeight="1">
      <c r="A489" s="1278"/>
      <c r="B489" s="1278"/>
      <c r="C489" s="1278"/>
      <c r="D489" s="1278"/>
      <c r="E489" s="1278"/>
      <c r="F489" s="1278"/>
      <c r="G489" s="1278"/>
      <c r="H489" s="1278"/>
      <c r="I489" s="1278"/>
      <c r="J489" s="1278"/>
      <c r="K489" s="1278"/>
      <c r="L489" s="1278"/>
      <c r="M489" s="1278"/>
      <c r="N489" s="1278"/>
      <c r="O489" s="1278"/>
      <c r="P489" s="1278"/>
      <c r="Q489" s="1278"/>
      <c r="R489" s="1278"/>
      <c r="S489" s="1278"/>
      <c r="T489" s="1278"/>
      <c r="U489" s="1278"/>
      <c r="V489" s="1278"/>
      <c r="W489" s="1278"/>
      <c r="X489" s="1278"/>
      <c r="Y489" s="1278"/>
      <c r="Z489" s="1278"/>
      <c r="AA489" s="1278"/>
      <c r="AB489" s="1278"/>
      <c r="AC489" s="1278"/>
      <c r="AD489" s="1278"/>
      <c r="AE489" s="1278"/>
      <c r="AF489" s="1278"/>
      <c r="AG489" s="1278"/>
      <c r="AH489" s="1278"/>
      <c r="AI489" s="1278"/>
      <c r="AJ489" s="1278"/>
      <c r="AK489" s="1278"/>
      <c r="AL489" s="1278"/>
      <c r="AM489" s="1278"/>
      <c r="AN489" s="1278"/>
      <c r="AO489" s="1278"/>
      <c r="AP489" s="1278"/>
      <c r="AQ489" s="1278"/>
      <c r="AR489" s="1278"/>
      <c r="AS489" s="1278"/>
      <c r="AT489" s="1278"/>
      <c r="AZ489" s="3"/>
      <c r="BB489" s="3"/>
      <c r="BC489" s="3"/>
    </row>
    <row r="490" spans="1:55" ht="12.95" customHeight="1">
      <c r="AZ490" s="3"/>
      <c r="BB490" s="3"/>
      <c r="BC490" s="3"/>
    </row>
    <row r="491" spans="1:55" ht="12.95" customHeight="1">
      <c r="A491" s="2" t="s">
        <v>319</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65" t="s">
        <v>393</v>
      </c>
      <c r="R493" s="1766"/>
      <c r="S493" s="1766"/>
      <c r="T493" s="1766"/>
      <c r="U493" s="1766"/>
      <c r="V493" s="1766"/>
      <c r="W493" s="1766"/>
      <c r="X493" s="1766"/>
      <c r="Y493" s="1766"/>
      <c r="Z493" s="1766"/>
      <c r="AA493" s="1766"/>
      <c r="AB493" s="1766"/>
      <c r="AC493" s="1766"/>
      <c r="AD493" s="1766"/>
      <c r="AE493" s="1766"/>
      <c r="AF493" s="1766"/>
      <c r="AG493" s="1766"/>
      <c r="AH493" s="1766"/>
      <c r="AI493" s="1766"/>
      <c r="AJ493" s="1766"/>
      <c r="AK493" s="1778"/>
      <c r="AZ493" s="3"/>
      <c r="BB493" s="3"/>
      <c r="BC493" s="3"/>
    </row>
    <row r="494" spans="1:55" ht="12.95" customHeight="1">
      <c r="B494" s="45" t="s">
        <v>394</v>
      </c>
      <c r="C494" s="5"/>
      <c r="D494" s="5"/>
      <c r="E494" s="5"/>
      <c r="F494" s="5"/>
      <c r="G494" s="5"/>
      <c r="H494" s="5"/>
      <c r="I494" s="5"/>
      <c r="J494" s="5"/>
      <c r="K494" s="5"/>
      <c r="L494" s="5"/>
      <c r="M494" s="5"/>
      <c r="N494" s="5"/>
      <c r="O494" s="5"/>
      <c r="P494" s="5"/>
      <c r="Q494" s="1472" t="s">
        <v>2675</v>
      </c>
      <c r="R494" s="1404"/>
      <c r="S494" s="1404"/>
      <c r="T494" s="1404"/>
      <c r="U494" s="1404"/>
      <c r="V494" s="1404"/>
      <c r="W494" s="1404"/>
      <c r="X494" s="1404"/>
      <c r="Y494" s="1404"/>
      <c r="Z494" s="1404"/>
      <c r="AA494" s="1404"/>
      <c r="AB494" s="1404"/>
      <c r="AC494" s="1404"/>
      <c r="AD494" s="1404"/>
      <c r="AE494" s="1404"/>
      <c r="AF494" s="1404"/>
      <c r="AG494" s="1404"/>
      <c r="AH494" s="1404"/>
      <c r="AI494" s="1404"/>
      <c r="AJ494" s="1404"/>
      <c r="AK494" s="1473"/>
      <c r="AZ494" s="3"/>
      <c r="BB494" s="3"/>
      <c r="BC494" s="3"/>
    </row>
    <row r="495" spans="1:55" ht="12.95" customHeight="1">
      <c r="B495" s="45" t="s">
        <v>395</v>
      </c>
      <c r="C495" s="5"/>
      <c r="D495" s="5"/>
      <c r="E495" s="5"/>
      <c r="F495" s="5"/>
      <c r="G495" s="5"/>
      <c r="H495" s="5"/>
      <c r="I495" s="5"/>
      <c r="J495" s="5"/>
      <c r="K495" s="5"/>
      <c r="L495" s="5"/>
      <c r="M495" s="5"/>
      <c r="N495" s="5"/>
      <c r="O495" s="5"/>
      <c r="P495" s="5"/>
      <c r="Q495" s="1472" t="s">
        <v>2675</v>
      </c>
      <c r="R495" s="1404"/>
      <c r="S495" s="1404"/>
      <c r="T495" s="1404"/>
      <c r="U495" s="1404"/>
      <c r="V495" s="1404"/>
      <c r="W495" s="1404"/>
      <c r="X495" s="1404"/>
      <c r="Y495" s="1404"/>
      <c r="Z495" s="1404"/>
      <c r="AA495" s="1404"/>
      <c r="AB495" s="1404"/>
      <c r="AC495" s="1404"/>
      <c r="AD495" s="1404"/>
      <c r="AE495" s="1404"/>
      <c r="AF495" s="1404"/>
      <c r="AG495" s="1404"/>
      <c r="AH495" s="1404"/>
      <c r="AI495" s="1404"/>
      <c r="AJ495" s="1404"/>
      <c r="AK495" s="1473"/>
      <c r="AZ495" s="3"/>
      <c r="BB495" s="3"/>
      <c r="BC495" s="3"/>
    </row>
    <row r="496" spans="1:55" ht="12.95" customHeight="1">
      <c r="B496" s="45" t="s">
        <v>396</v>
      </c>
      <c r="C496" s="5"/>
      <c r="D496" s="5"/>
      <c r="E496" s="5"/>
      <c r="F496" s="5"/>
      <c r="G496" s="5"/>
      <c r="H496" s="5"/>
      <c r="I496" s="5"/>
      <c r="J496" s="5"/>
      <c r="K496" s="5"/>
      <c r="L496" s="5"/>
      <c r="M496" s="5"/>
      <c r="N496" s="5"/>
      <c r="O496" s="5"/>
      <c r="P496" s="5"/>
      <c r="Q496" s="1472" t="s">
        <v>2675</v>
      </c>
      <c r="R496" s="1404"/>
      <c r="S496" s="1404"/>
      <c r="T496" s="1404"/>
      <c r="U496" s="1404"/>
      <c r="V496" s="1404"/>
      <c r="W496" s="1404"/>
      <c r="X496" s="1404"/>
      <c r="Y496" s="1404"/>
      <c r="Z496" s="1404"/>
      <c r="AA496" s="1404"/>
      <c r="AB496" s="1404"/>
      <c r="AC496" s="1404"/>
      <c r="AD496" s="1404"/>
      <c r="AE496" s="1404"/>
      <c r="AF496" s="1404"/>
      <c r="AG496" s="1404"/>
      <c r="AH496" s="1404"/>
      <c r="AI496" s="1404"/>
      <c r="AJ496" s="1404"/>
      <c r="AK496" s="1473"/>
      <c r="AZ496" s="3"/>
      <c r="BA496" s="3"/>
      <c r="BB496" s="3"/>
      <c r="BC496" s="3"/>
    </row>
    <row r="497" spans="1:66" ht="12.95" customHeight="1">
      <c r="B497" s="1789" t="s">
        <v>397</v>
      </c>
      <c r="C497" s="1790"/>
      <c r="D497" s="1790"/>
      <c r="E497" s="1790"/>
      <c r="F497" s="1790"/>
      <c r="G497" s="1790"/>
      <c r="H497" s="1790"/>
      <c r="I497" s="1790"/>
      <c r="J497" s="1790"/>
      <c r="K497" s="1790"/>
      <c r="L497" s="1790"/>
      <c r="M497" s="1790"/>
      <c r="N497" s="1790"/>
      <c r="O497" s="1790"/>
      <c r="P497" s="1791"/>
      <c r="Q497" s="1772" t="s">
        <v>668</v>
      </c>
      <c r="R497" s="1773"/>
      <c r="S497" s="1780" t="s">
        <v>166</v>
      </c>
      <c r="T497" s="1781"/>
      <c r="U497" s="1781"/>
      <c r="V497" s="1781"/>
      <c r="W497" s="1781"/>
      <c r="X497" s="1781"/>
      <c r="Y497" s="1781"/>
      <c r="Z497" s="1781"/>
      <c r="AA497" s="1781"/>
      <c r="AB497" s="1781"/>
      <c r="AC497" s="1781"/>
      <c r="AD497" s="1781"/>
      <c r="AE497" s="1781"/>
      <c r="AF497" s="1781"/>
      <c r="AG497" s="1781"/>
      <c r="AH497" s="1781"/>
      <c r="AI497" s="1781"/>
      <c r="AJ497" s="1781"/>
      <c r="AK497" s="1782"/>
      <c r="AZ497" s="3"/>
      <c r="BA497" s="3"/>
      <c r="BB497" s="3"/>
      <c r="BC497" s="3"/>
    </row>
    <row r="498" spans="1:66" ht="12.95" customHeight="1">
      <c r="B498" s="1792"/>
      <c r="C498" s="1793"/>
      <c r="D498" s="1793"/>
      <c r="E498" s="1793"/>
      <c r="F498" s="1793"/>
      <c r="G498" s="1793"/>
      <c r="H498" s="1793"/>
      <c r="I498" s="1793"/>
      <c r="J498" s="1793"/>
      <c r="K498" s="1793"/>
      <c r="L498" s="1793"/>
      <c r="M498" s="1793"/>
      <c r="N498" s="1793"/>
      <c r="O498" s="1793"/>
      <c r="P498" s="1794"/>
      <c r="Q498" s="1774"/>
      <c r="R498" s="1775"/>
      <c r="S498" s="1783"/>
      <c r="T498" s="1740"/>
      <c r="U498" s="1740"/>
      <c r="V498" s="1740"/>
      <c r="W498" s="1740"/>
      <c r="X498" s="1740"/>
      <c r="Y498" s="1740"/>
      <c r="Z498" s="1740"/>
      <c r="AA498" s="1740"/>
      <c r="AB498" s="1740"/>
      <c r="AC498" s="1740"/>
      <c r="AD498" s="1740"/>
      <c r="AE498" s="1740"/>
      <c r="AF498" s="1740"/>
      <c r="AG498" s="1740"/>
      <c r="AH498" s="1740"/>
      <c r="AI498" s="1740"/>
      <c r="AJ498" s="1740"/>
      <c r="AK498" s="1784"/>
      <c r="AZ498" s="3"/>
      <c r="BA498" s="3"/>
      <c r="BB498" s="3"/>
      <c r="BC498" s="3"/>
    </row>
    <row r="499" spans="1:66" ht="12.95" customHeight="1">
      <c r="B499" s="891" t="s">
        <v>1659</v>
      </c>
      <c r="C499" s="869"/>
      <c r="D499" s="869"/>
      <c r="E499" s="869"/>
      <c r="F499" s="869"/>
      <c r="G499" s="869"/>
      <c r="H499" s="869"/>
      <c r="I499" s="869"/>
      <c r="J499" s="869"/>
      <c r="K499" s="869"/>
      <c r="L499" s="869"/>
      <c r="M499" s="869"/>
      <c r="N499" s="869"/>
      <c r="O499" s="869"/>
      <c r="P499" s="869"/>
      <c r="Q499" s="1760" t="s">
        <v>668</v>
      </c>
      <c r="R499" s="1761"/>
      <c r="S499" s="1761"/>
      <c r="T499" s="1761"/>
      <c r="U499" s="1761"/>
      <c r="V499" s="1761"/>
      <c r="W499" s="1761"/>
      <c r="X499" s="1761"/>
      <c r="Y499" s="1761"/>
      <c r="Z499" s="1761"/>
      <c r="AA499" s="1761"/>
      <c r="AB499" s="1761"/>
      <c r="AC499" s="1761"/>
      <c r="AD499" s="1761"/>
      <c r="AE499" s="1761"/>
      <c r="AF499" s="1761"/>
      <c r="AG499" s="1761"/>
      <c r="AH499" s="1761"/>
      <c r="AI499" s="1761"/>
      <c r="AJ499" s="1761"/>
      <c r="AK499" s="1762"/>
      <c r="AZ499" s="3"/>
      <c r="BA499" s="3"/>
      <c r="BB499" s="3"/>
      <c r="BC499" s="3"/>
    </row>
    <row r="500" spans="1:66" ht="12.95" customHeight="1">
      <c r="B500" s="45" t="s">
        <v>398</v>
      </c>
      <c r="C500" s="5"/>
      <c r="D500" s="5"/>
      <c r="E500" s="5"/>
      <c r="F500" s="5"/>
      <c r="G500" s="5"/>
      <c r="H500" s="5"/>
      <c r="I500" s="5"/>
      <c r="J500" s="5"/>
      <c r="K500" s="5"/>
      <c r="L500" s="5"/>
      <c r="M500" s="5"/>
      <c r="N500" s="5"/>
      <c r="O500" s="5"/>
      <c r="P500" s="5"/>
      <c r="Q500" s="1292" t="s">
        <v>2736</v>
      </c>
      <c r="R500" s="1404"/>
      <c r="S500" s="1404"/>
      <c r="T500" s="1404"/>
      <c r="U500" s="1404"/>
      <c r="V500" s="1404"/>
      <c r="W500" s="1404"/>
      <c r="X500" s="1404"/>
      <c r="Y500" s="1404"/>
      <c r="Z500" s="1404"/>
      <c r="AA500" s="1404"/>
      <c r="AB500" s="1404"/>
      <c r="AC500" s="1404"/>
      <c r="AD500" s="1404"/>
      <c r="AE500" s="1404"/>
      <c r="AF500" s="1404"/>
      <c r="AG500" s="1404"/>
      <c r="AH500" s="1404"/>
      <c r="AI500" s="1404"/>
      <c r="AJ500" s="1404"/>
      <c r="AK500" s="1473"/>
      <c r="AZ500" s="3"/>
      <c r="BA500" s="3"/>
      <c r="BB500" s="3"/>
      <c r="BC500" s="3"/>
    </row>
    <row r="501" spans="1:66" ht="12.95" customHeight="1">
      <c r="B501" s="45" t="s">
        <v>399</v>
      </c>
      <c r="C501" s="5"/>
      <c r="D501" s="5"/>
      <c r="E501" s="5"/>
      <c r="F501" s="5"/>
      <c r="G501" s="5"/>
      <c r="H501" s="5"/>
      <c r="I501" s="5"/>
      <c r="J501" s="5"/>
      <c r="K501" s="5"/>
      <c r="L501" s="5"/>
      <c r="M501" s="5"/>
      <c r="N501" s="5"/>
      <c r="O501" s="5"/>
      <c r="P501" s="5"/>
      <c r="Q501" s="1472">
        <v>0</v>
      </c>
      <c r="R501" s="1404"/>
      <c r="S501" s="1404"/>
      <c r="T501" s="1404"/>
      <c r="U501" s="1404"/>
      <c r="V501" s="1404"/>
      <c r="W501" s="1404"/>
      <c r="X501" s="1404"/>
      <c r="Y501" s="1404"/>
      <c r="Z501" s="1404"/>
      <c r="AA501" s="1404"/>
      <c r="AB501" s="1404"/>
      <c r="AC501" s="1404"/>
      <c r="AD501" s="1404"/>
      <c r="AE501" s="1404"/>
      <c r="AF501" s="1404"/>
      <c r="AG501" s="1404"/>
      <c r="AH501" s="1404"/>
      <c r="AI501" s="1404"/>
      <c r="AJ501" s="1404"/>
      <c r="AK501" s="1473"/>
      <c r="AZ501" s="3"/>
      <c r="BA501" s="3"/>
      <c r="BB501" s="3"/>
      <c r="BC501" s="3"/>
    </row>
    <row r="502" spans="1:66" ht="12.95" customHeight="1">
      <c r="B502" s="121" t="s">
        <v>1656</v>
      </c>
      <c r="C502" s="5"/>
      <c r="D502" s="5"/>
      <c r="E502" s="5"/>
      <c r="F502" s="5"/>
      <c r="G502" s="5"/>
      <c r="H502" s="5"/>
      <c r="I502" s="5"/>
      <c r="J502" s="5"/>
      <c r="K502" s="5"/>
      <c r="L502" s="5"/>
      <c r="M502" s="5"/>
      <c r="N502" s="5"/>
      <c r="O502" s="5"/>
      <c r="P502" s="5"/>
      <c r="Q502" s="1472">
        <v>153</v>
      </c>
      <c r="R502" s="1404"/>
      <c r="S502" s="1404"/>
      <c r="T502" s="1404"/>
      <c r="U502" s="1404"/>
      <c r="V502" s="1404"/>
      <c r="W502" s="1404"/>
      <c r="X502" s="1404"/>
      <c r="Y502" s="1404"/>
      <c r="Z502" s="1404"/>
      <c r="AA502" s="1404"/>
      <c r="AB502" s="1404"/>
      <c r="AC502" s="1404"/>
      <c r="AD502" s="1404"/>
      <c r="AE502" s="1404"/>
      <c r="AF502" s="1404"/>
      <c r="AG502" s="1404"/>
      <c r="AH502" s="1404"/>
      <c r="AI502" s="1404"/>
      <c r="AJ502" s="1404"/>
      <c r="AK502" s="1473"/>
      <c r="AZ502" s="3"/>
      <c r="BA502" s="3"/>
      <c r="BB502" s="3"/>
      <c r="BC502" s="3"/>
    </row>
    <row r="503" spans="1:66" ht="12.95" customHeight="1">
      <c r="B503" s="121" t="s">
        <v>1657</v>
      </c>
      <c r="C503" s="5"/>
      <c r="D503" s="5"/>
      <c r="E503" s="5"/>
      <c r="F503" s="5"/>
      <c r="G503" s="5"/>
      <c r="H503" s="5"/>
      <c r="I503" s="5"/>
      <c r="J503" s="5"/>
      <c r="K503" s="5"/>
      <c r="L503" s="5"/>
      <c r="M503" s="1465">
        <v>0</v>
      </c>
      <c r="N503" s="1466"/>
      <c r="O503" s="1466"/>
      <c r="P503" s="1467"/>
      <c r="Q503" s="121" t="s">
        <v>1658</v>
      </c>
      <c r="R503" s="5"/>
      <c r="S503" s="5"/>
      <c r="T503" s="5"/>
      <c r="U503" s="5"/>
      <c r="V503" s="5"/>
      <c r="W503" s="5"/>
      <c r="X503" s="5"/>
      <c r="Y503" s="5"/>
      <c r="Z503" s="5"/>
      <c r="AA503" s="5"/>
      <c r="AB503" s="5"/>
      <c r="AC503" s="5"/>
      <c r="AD503" s="5"/>
      <c r="AE503" s="5"/>
      <c r="AF503" s="5"/>
      <c r="AG503" s="5"/>
      <c r="AH503" s="1465">
        <v>153</v>
      </c>
      <c r="AI503" s="1466"/>
      <c r="AJ503" s="1466"/>
      <c r="AK503" s="1467"/>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65" t="s">
        <v>401</v>
      </c>
      <c r="AD507" s="1766"/>
      <c r="AE507" s="1766"/>
      <c r="AF507" s="1766"/>
      <c r="AG507" s="1766"/>
      <c r="AH507" s="1766"/>
      <c r="AI507" s="1766"/>
      <c r="AJ507" s="1766"/>
      <c r="AK507" s="1778"/>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65" t="s">
        <v>402</v>
      </c>
      <c r="AD508" s="1766"/>
      <c r="AE508" s="1766"/>
      <c r="AF508" s="1766"/>
      <c r="AG508" s="50" t="s">
        <v>403</v>
      </c>
      <c r="AH508" s="1766" t="s">
        <v>404</v>
      </c>
      <c r="AI508" s="1766"/>
      <c r="AJ508" s="1766"/>
      <c r="AK508" s="1778"/>
      <c r="AZ508" s="3"/>
      <c r="BA508" s="3"/>
      <c r="BB508" s="3"/>
      <c r="BC508" s="3"/>
      <c r="BD508" s="3"/>
      <c r="BE508" s="3"/>
      <c r="BF508" s="3"/>
      <c r="BG508" s="3"/>
      <c r="BH508" s="3"/>
      <c r="BI508" s="3"/>
      <c r="BJ508" s="3"/>
      <c r="BK508" s="3"/>
      <c r="BL508" s="3"/>
      <c r="BM508" s="3"/>
      <c r="BN508" s="3"/>
    </row>
    <row r="509" spans="1:66" ht="12.95" customHeight="1">
      <c r="B509" s="1630" t="s">
        <v>405</v>
      </c>
      <c r="C509" s="1631"/>
      <c r="D509" s="1631"/>
      <c r="E509" s="1631"/>
      <c r="F509" s="1631"/>
      <c r="G509" s="1631"/>
      <c r="H509" s="1632"/>
      <c r="I509" s="42" t="s">
        <v>406</v>
      </c>
      <c r="J509" s="42"/>
      <c r="K509" s="42"/>
      <c r="L509" s="42"/>
      <c r="M509" s="42"/>
      <c r="N509" s="42"/>
      <c r="O509" s="42"/>
      <c r="P509" s="42"/>
      <c r="Q509" s="42"/>
      <c r="R509" s="42"/>
      <c r="S509" s="42"/>
      <c r="T509" s="42"/>
      <c r="U509" s="42"/>
      <c r="V509" s="42"/>
      <c r="W509" s="42"/>
      <c r="AC509" s="1445">
        <v>12</v>
      </c>
      <c r="AD509" s="1446"/>
      <c r="AE509" s="1446"/>
      <c r="AF509" s="1446"/>
      <c r="AG509" s="13" t="s">
        <v>403</v>
      </c>
      <c r="AH509" s="1325">
        <v>2026</v>
      </c>
      <c r="AI509" s="1325"/>
      <c r="AJ509" s="1325"/>
      <c r="AK509" s="1326"/>
      <c r="AZ509" s="3"/>
      <c r="BA509" s="3"/>
      <c r="BB509" s="3"/>
      <c r="BC509" s="3"/>
      <c r="BD509" s="3"/>
      <c r="BE509" s="3"/>
      <c r="BF509" s="3"/>
      <c r="BG509" s="3"/>
      <c r="BH509" s="3"/>
      <c r="BI509" s="3"/>
      <c r="BJ509" s="3"/>
      <c r="BK509" s="3"/>
      <c r="BL509" s="3"/>
      <c r="BM509" s="3"/>
      <c r="BN509" s="3"/>
    </row>
    <row r="510" spans="1:66" ht="12.95" customHeight="1">
      <c r="B510" s="1633"/>
      <c r="C510" s="1634"/>
      <c r="D510" s="1634"/>
      <c r="E510" s="1634"/>
      <c r="F510" s="1634"/>
      <c r="G510" s="1634"/>
      <c r="H510" s="1635"/>
      <c r="I510" s="48" t="s">
        <v>407</v>
      </c>
      <c r="J510" s="48"/>
      <c r="K510" s="48"/>
      <c r="L510" s="48"/>
      <c r="M510" s="48"/>
      <c r="N510" s="48"/>
      <c r="O510" s="48"/>
      <c r="P510" s="48"/>
      <c r="Q510" s="48"/>
      <c r="R510" s="48"/>
      <c r="S510" s="48"/>
      <c r="T510" s="48"/>
      <c r="U510" s="48"/>
      <c r="V510" s="48"/>
      <c r="W510" s="48"/>
      <c r="X510" s="48"/>
      <c r="Y510" s="48"/>
      <c r="Z510" s="48"/>
      <c r="AA510" s="48"/>
      <c r="AB510" s="48"/>
      <c r="AC510" s="1445">
        <v>2</v>
      </c>
      <c r="AD510" s="1446"/>
      <c r="AE510" s="1446"/>
      <c r="AF510" s="1446"/>
      <c r="AG510" s="38" t="s">
        <v>403</v>
      </c>
      <c r="AH510" s="1325">
        <v>2027</v>
      </c>
      <c r="AI510" s="1325"/>
      <c r="AJ510" s="1325"/>
      <c r="AK510" s="1326"/>
      <c r="AZ510" s="3"/>
      <c r="BA510" s="3"/>
      <c r="BB510" s="3"/>
      <c r="BC510" s="3"/>
      <c r="BD510" s="3"/>
      <c r="BE510" s="3"/>
      <c r="BF510" s="3"/>
      <c r="BG510" s="3"/>
      <c r="BH510" s="3"/>
      <c r="BI510" s="3"/>
      <c r="BJ510" s="3"/>
      <c r="BK510" s="3"/>
      <c r="BL510" s="3"/>
      <c r="BM510" s="3"/>
      <c r="BN510" s="3"/>
    </row>
    <row r="511" spans="1:66" ht="12.95" customHeight="1">
      <c r="B511" s="1630" t="s">
        <v>408</v>
      </c>
      <c r="C511" s="1631"/>
      <c r="D511" s="1631"/>
      <c r="E511" s="1631"/>
      <c r="F511" s="1631"/>
      <c r="G511" s="1631"/>
      <c r="H511" s="1632"/>
      <c r="I511" s="42" t="s">
        <v>409</v>
      </c>
      <c r="J511" s="42"/>
      <c r="K511" s="42"/>
      <c r="L511" s="42"/>
      <c r="M511" s="42"/>
      <c r="N511" s="42"/>
      <c r="O511" s="42"/>
      <c r="P511" s="42"/>
      <c r="Q511" s="42"/>
      <c r="R511" s="42"/>
      <c r="S511" s="42"/>
      <c r="T511" s="42"/>
      <c r="U511" s="42"/>
      <c r="V511" s="42"/>
      <c r="W511" s="42"/>
      <c r="AC511" s="1445" t="s">
        <v>590</v>
      </c>
      <c r="AD511" s="1446"/>
      <c r="AE511" s="1446"/>
      <c r="AF511" s="1446"/>
      <c r="AG511" s="13" t="s">
        <v>403</v>
      </c>
      <c r="AH511" s="1325"/>
      <c r="AI511" s="1325"/>
      <c r="AJ511" s="1325"/>
      <c r="AK511" s="1326"/>
      <c r="AZ511" s="3"/>
      <c r="BA511" s="3"/>
      <c r="BB511" s="3"/>
      <c r="BC511" s="3"/>
      <c r="BD511" s="3"/>
      <c r="BE511" s="3"/>
      <c r="BF511" s="3"/>
      <c r="BG511" s="3"/>
      <c r="BH511" s="3"/>
      <c r="BI511" s="3"/>
      <c r="BJ511" s="3"/>
      <c r="BK511" s="3"/>
      <c r="BL511" s="3"/>
      <c r="BM511" s="3"/>
      <c r="BN511" s="3"/>
    </row>
    <row r="512" spans="1:66" ht="12.95" customHeight="1">
      <c r="B512" s="1633"/>
      <c r="C512" s="1634"/>
      <c r="D512" s="1634"/>
      <c r="E512" s="1634"/>
      <c r="F512" s="1634"/>
      <c r="G512" s="1634"/>
      <c r="H512" s="1635"/>
      <c r="I512" t="s">
        <v>410</v>
      </c>
      <c r="AC512" s="1445" t="s">
        <v>590</v>
      </c>
      <c r="AD512" s="1446"/>
      <c r="AE512" s="1446"/>
      <c r="AF512" s="1446"/>
      <c r="AG512" s="13" t="s">
        <v>403</v>
      </c>
      <c r="AH512" s="1325"/>
      <c r="AI512" s="1325"/>
      <c r="AJ512" s="1325"/>
      <c r="AK512" s="1326"/>
      <c r="AZ512" s="3"/>
      <c r="BA512" s="3"/>
      <c r="BB512" s="3"/>
      <c r="BC512" s="3"/>
      <c r="BD512" s="3"/>
      <c r="BE512" s="3"/>
      <c r="BF512" s="3"/>
      <c r="BG512" s="3"/>
      <c r="BH512" s="3"/>
      <c r="BI512" s="3"/>
      <c r="BJ512" s="3"/>
      <c r="BK512" s="3"/>
      <c r="BL512" s="3"/>
      <c r="BM512" s="3"/>
      <c r="BN512" s="3"/>
    </row>
    <row r="513" spans="2:66" ht="12.95" customHeight="1">
      <c r="B513" s="1633"/>
      <c r="C513" s="1634"/>
      <c r="D513" s="1634"/>
      <c r="E513" s="1634"/>
      <c r="F513" s="1634"/>
      <c r="G513" s="1634"/>
      <c r="H513" s="1635"/>
      <c r="I513" t="s">
        <v>411</v>
      </c>
      <c r="AC513" s="1445" t="s">
        <v>590</v>
      </c>
      <c r="AD513" s="1446"/>
      <c r="AE513" s="1446"/>
      <c r="AF513" s="1446"/>
      <c r="AG513" s="13" t="s">
        <v>403</v>
      </c>
      <c r="AH513" s="1325"/>
      <c r="AI513" s="1325"/>
      <c r="AJ513" s="1325"/>
      <c r="AK513" s="1326"/>
      <c r="AZ513" s="3"/>
      <c r="BA513" s="3"/>
      <c r="BB513" s="3"/>
      <c r="BC513" s="3"/>
      <c r="BD513" s="3"/>
      <c r="BE513" s="3"/>
      <c r="BF513" s="3"/>
      <c r="BG513" s="3"/>
      <c r="BH513" s="3"/>
      <c r="BI513" s="3"/>
      <c r="BJ513" s="3"/>
      <c r="BK513" s="3"/>
      <c r="BL513" s="3"/>
      <c r="BM513" s="3"/>
      <c r="BN513" s="3"/>
    </row>
    <row r="514" spans="2:66" ht="12.95" customHeight="1">
      <c r="B514" s="1633"/>
      <c r="C514" s="1634"/>
      <c r="D514" s="1634"/>
      <c r="E514" s="1634"/>
      <c r="F514" s="1634"/>
      <c r="G514" s="1634"/>
      <c r="H514" s="1635"/>
      <c r="I514" t="s">
        <v>412</v>
      </c>
      <c r="AC514" s="1445">
        <v>12</v>
      </c>
      <c r="AD514" s="1446"/>
      <c r="AE514" s="1446"/>
      <c r="AF514" s="1446"/>
      <c r="AG514" s="13" t="s">
        <v>403</v>
      </c>
      <c r="AH514" s="1325">
        <v>2026</v>
      </c>
      <c r="AI514" s="1325"/>
      <c r="AJ514" s="1325"/>
      <c r="AK514" s="1326"/>
      <c r="AZ514" s="3"/>
      <c r="BA514" s="3"/>
      <c r="BB514" s="3"/>
      <c r="BC514" s="3"/>
      <c r="BD514" s="3"/>
      <c r="BE514" s="3"/>
      <c r="BF514" s="3"/>
      <c r="BG514" s="3"/>
      <c r="BH514" s="3"/>
      <c r="BI514" s="3"/>
      <c r="BJ514" s="3"/>
      <c r="BK514" s="3"/>
      <c r="BL514" s="3"/>
      <c r="BM514" s="3"/>
      <c r="BN514" s="3"/>
    </row>
    <row r="515" spans="2:66" ht="12.95" customHeight="1">
      <c r="B515" s="1633"/>
      <c r="C515" s="1634"/>
      <c r="D515" s="1634"/>
      <c r="E515" s="1634"/>
      <c r="F515" s="1634"/>
      <c r="G515" s="1634"/>
      <c r="H515" s="1635"/>
      <c r="I515" s="3" t="s">
        <v>413</v>
      </c>
      <c r="AC515" s="1314">
        <v>2</v>
      </c>
      <c r="AD515" s="1315"/>
      <c r="AE515" s="1315"/>
      <c r="AF515" s="1315"/>
      <c r="AG515" s="13" t="s">
        <v>403</v>
      </c>
      <c r="AH515" s="1325">
        <v>2027</v>
      </c>
      <c r="AI515" s="1325"/>
      <c r="AJ515" s="1325"/>
      <c r="AK515" s="1326"/>
      <c r="AZ515" s="3"/>
      <c r="BA515" s="3"/>
      <c r="BB515" s="3"/>
      <c r="BC515" s="3"/>
      <c r="BD515" s="3"/>
      <c r="BE515" s="3"/>
      <c r="BF515" s="3"/>
      <c r="BG515" s="3"/>
      <c r="BH515" s="3"/>
      <c r="BI515" s="3"/>
      <c r="BJ515" s="3"/>
      <c r="BK515" s="3"/>
      <c r="BL515" s="3"/>
      <c r="BM515" s="3"/>
      <c r="BN515" s="3"/>
    </row>
    <row r="516" spans="2:66" ht="12.95" customHeight="1">
      <c r="B516" s="1633"/>
      <c r="C516" s="1634"/>
      <c r="D516" s="1634"/>
      <c r="E516" s="1634"/>
      <c r="F516" s="1634"/>
      <c r="G516" s="1634"/>
      <c r="H516" s="1635"/>
      <c r="I516" s="892" t="s">
        <v>170</v>
      </c>
      <c r="J516" s="48"/>
      <c r="K516" s="48"/>
      <c r="L516" s="1767" t="s">
        <v>334</v>
      </c>
      <c r="M516" s="1680"/>
      <c r="N516" s="1680"/>
      <c r="O516" s="1680"/>
      <c r="P516" s="1680"/>
      <c r="Q516" s="1680"/>
      <c r="R516" s="1680"/>
      <c r="S516" s="1680"/>
      <c r="T516" s="1680"/>
      <c r="U516" s="1680"/>
      <c r="V516" s="1680"/>
      <c r="W516" s="1680"/>
      <c r="X516" s="1680"/>
      <c r="Y516" s="1680"/>
      <c r="Z516" s="1680"/>
      <c r="AA516" s="1680"/>
      <c r="AB516" s="1795"/>
      <c r="AC516" s="1445" t="s">
        <v>590</v>
      </c>
      <c r="AD516" s="1446"/>
      <c r="AE516" s="1446"/>
      <c r="AF516" s="1446"/>
      <c r="AG516" s="38" t="s">
        <v>403</v>
      </c>
      <c r="AH516" s="1325"/>
      <c r="AI516" s="1325"/>
      <c r="AJ516" s="1325"/>
      <c r="AK516" s="1326"/>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1663</v>
      </c>
      <c r="AC517" s="1710" t="s">
        <v>668</v>
      </c>
      <c r="AD517" s="1710"/>
      <c r="AE517" s="1710"/>
      <c r="AF517" s="1710"/>
      <c r="AG517" s="13"/>
      <c r="AH517" s="1272"/>
      <c r="AI517" s="1272"/>
      <c r="AJ517" s="1272"/>
      <c r="AK517" s="1755"/>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1660</v>
      </c>
      <c r="AC518" s="1314"/>
      <c r="AD518" s="1315"/>
      <c r="AE518" s="1315"/>
      <c r="AF518" s="1316"/>
      <c r="AG518" s="13"/>
      <c r="AH518" s="1272"/>
      <c r="AI518" s="1272"/>
      <c r="AJ518" s="1272"/>
      <c r="AK518" s="1755"/>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1661</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1662</v>
      </c>
      <c r="J520" s="48"/>
      <c r="K520" s="48"/>
      <c r="L520" s="48"/>
      <c r="M520" s="48"/>
      <c r="N520" s="48"/>
      <c r="O520" s="48"/>
      <c r="P520" s="48"/>
      <c r="Q520" s="48"/>
      <c r="R520" s="48"/>
      <c r="S520" s="48"/>
      <c r="T520" s="48"/>
      <c r="U520" s="48"/>
      <c r="V520" s="48"/>
      <c r="W520" s="48"/>
      <c r="X520" s="48"/>
      <c r="Y520" s="48"/>
      <c r="Z520" s="48"/>
      <c r="AA520" s="48"/>
      <c r="AB520" s="48"/>
      <c r="AC520" s="1756"/>
      <c r="AD520" s="1757"/>
      <c r="AE520" s="1757"/>
      <c r="AF520" s="1758"/>
      <c r="AG520" s="38"/>
      <c r="AH520" s="1785"/>
      <c r="AI520" s="1785"/>
      <c r="AJ520" s="1785"/>
      <c r="AK520" s="1786"/>
      <c r="AZ520" s="3"/>
      <c r="BA520" s="3"/>
      <c r="BB520" s="3"/>
      <c r="BC520" s="3"/>
      <c r="BD520" s="3"/>
      <c r="BE520" s="3"/>
      <c r="BF520" s="3"/>
      <c r="BG520" s="3"/>
      <c r="BH520" s="3"/>
      <c r="BI520" s="3"/>
      <c r="BJ520" s="3"/>
      <c r="BK520" s="3"/>
      <c r="BL520" s="3"/>
      <c r="BM520" s="3"/>
      <c r="BN520" s="3" t="s">
        <v>1183</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769" t="s">
        <v>402</v>
      </c>
      <c r="AD521" s="1494"/>
      <c r="AE521" s="1494"/>
      <c r="AF521" s="1494"/>
      <c r="AG521" s="38" t="s">
        <v>403</v>
      </c>
      <c r="AH521" s="1494" t="s">
        <v>404</v>
      </c>
      <c r="AI521" s="1494"/>
      <c r="AJ521" s="1494"/>
      <c r="AK521" s="1768"/>
      <c r="AZ521" s="3"/>
      <c r="BA521" s="3"/>
      <c r="BB521" s="3"/>
      <c r="BC521" s="3"/>
      <c r="BD521" s="3"/>
      <c r="BE521" s="3"/>
      <c r="BF521" s="3"/>
      <c r="BG521" s="3"/>
      <c r="BH521" s="3"/>
      <c r="BI521" s="3"/>
      <c r="BJ521" s="3"/>
      <c r="BK521" s="3"/>
      <c r="BL521" s="3"/>
      <c r="BM521" s="3"/>
      <c r="BN521" s="3" t="s">
        <v>2058</v>
      </c>
    </row>
    <row r="522" spans="2:66" ht="12.95" customHeight="1">
      <c r="B522" s="1630" t="s">
        <v>414</v>
      </c>
      <c r="C522" s="1631"/>
      <c r="D522" s="1631"/>
      <c r="E522" s="1631"/>
      <c r="F522" s="1631"/>
      <c r="G522" s="1631"/>
      <c r="H522" s="1632"/>
      <c r="I522" s="42" t="s">
        <v>415</v>
      </c>
      <c r="J522" s="42"/>
      <c r="K522" s="42"/>
      <c r="L522" s="42"/>
      <c r="M522" s="42"/>
      <c r="N522" s="42"/>
      <c r="O522" s="42"/>
      <c r="P522" s="42"/>
      <c r="Q522" s="42"/>
      <c r="R522" s="42"/>
      <c r="S522" s="42"/>
      <c r="T522" s="42"/>
      <c r="U522" s="42"/>
      <c r="V522" s="42"/>
      <c r="W522" s="42"/>
      <c r="AC522" s="1445">
        <v>3</v>
      </c>
      <c r="AD522" s="1446"/>
      <c r="AE522" s="1446"/>
      <c r="AF522" s="1446"/>
      <c r="AG522" s="13" t="s">
        <v>403</v>
      </c>
      <c r="AH522" s="1325">
        <v>2026</v>
      </c>
      <c r="AI522" s="1325"/>
      <c r="AJ522" s="1325"/>
      <c r="AK522" s="1326"/>
      <c r="AZ522" s="3"/>
      <c r="BA522" s="3"/>
      <c r="BB522" s="3"/>
      <c r="BC522" s="3"/>
      <c r="BD522" s="3"/>
      <c r="BE522" s="3"/>
      <c r="BF522" s="3"/>
      <c r="BG522" s="3"/>
      <c r="BH522" s="3"/>
      <c r="BI522" s="3"/>
      <c r="BJ522" s="3"/>
      <c r="BK522" s="3"/>
      <c r="BL522" s="3"/>
      <c r="BM522" s="3"/>
      <c r="BN522" s="3" t="s">
        <v>2059</v>
      </c>
    </row>
    <row r="523" spans="2:66" ht="12.95" customHeight="1">
      <c r="B523" s="1633"/>
      <c r="C523" s="1634"/>
      <c r="D523" s="1634"/>
      <c r="E523" s="1634"/>
      <c r="F523" s="1634"/>
      <c r="G523" s="1634"/>
      <c r="H523" s="1635"/>
      <c r="I523" t="s">
        <v>416</v>
      </c>
      <c r="AC523" s="1445">
        <v>3</v>
      </c>
      <c r="AD523" s="1446"/>
      <c r="AE523" s="1446"/>
      <c r="AF523" s="1446"/>
      <c r="AG523" s="13" t="s">
        <v>403</v>
      </c>
      <c r="AH523" s="1325">
        <v>2026</v>
      </c>
      <c r="AI523" s="1325"/>
      <c r="AJ523" s="1325"/>
      <c r="AK523" s="1326"/>
      <c r="AZ523" s="3"/>
      <c r="BA523" s="3"/>
      <c r="BB523" s="3"/>
      <c r="BC523" s="3"/>
      <c r="BD523" s="3"/>
      <c r="BE523" s="3"/>
      <c r="BF523" s="3"/>
      <c r="BG523" s="3"/>
      <c r="BH523" s="3"/>
      <c r="BI523" s="3"/>
      <c r="BJ523" s="3"/>
      <c r="BK523" s="3"/>
      <c r="BL523" s="3"/>
      <c r="BM523" s="3"/>
      <c r="BN523" s="3" t="s">
        <v>2060</v>
      </c>
    </row>
    <row r="524" spans="2:66" ht="12.95" customHeight="1">
      <c r="B524" s="1633"/>
      <c r="C524" s="1634"/>
      <c r="D524" s="1634"/>
      <c r="E524" s="1634"/>
      <c r="F524" s="1634"/>
      <c r="G524" s="1634"/>
      <c r="H524" s="1635"/>
      <c r="I524" s="48" t="s">
        <v>417</v>
      </c>
      <c r="J524" s="48"/>
      <c r="K524" s="48"/>
      <c r="L524" s="48"/>
      <c r="M524" s="48"/>
      <c r="N524" s="48"/>
      <c r="O524" s="48"/>
      <c r="P524" s="48"/>
      <c r="Q524" s="48"/>
      <c r="R524" s="48"/>
      <c r="S524" s="48"/>
      <c r="T524" s="48"/>
      <c r="U524" s="48"/>
      <c r="V524" s="48"/>
      <c r="W524" s="48"/>
      <c r="X524" s="48"/>
      <c r="Y524" s="48"/>
      <c r="Z524" s="48"/>
      <c r="AA524" s="48"/>
      <c r="AB524" s="48"/>
      <c r="AC524" s="1445">
        <v>2</v>
      </c>
      <c r="AD524" s="1446"/>
      <c r="AE524" s="1446"/>
      <c r="AF524" s="1446"/>
      <c r="AG524" s="38" t="s">
        <v>403</v>
      </c>
      <c r="AH524" s="1325">
        <v>2027</v>
      </c>
      <c r="AI524" s="1325"/>
      <c r="AJ524" s="1325"/>
      <c r="AK524" s="1326"/>
      <c r="AZ524" s="3"/>
      <c r="BA524" s="3"/>
      <c r="BB524" s="3"/>
      <c r="BC524" s="3"/>
      <c r="BD524" s="3"/>
      <c r="BE524" s="3"/>
      <c r="BF524" s="3"/>
      <c r="BG524" s="3"/>
      <c r="BH524" s="3"/>
      <c r="BI524" s="3"/>
      <c r="BJ524" s="3"/>
      <c r="BK524" s="3"/>
      <c r="BL524" s="3"/>
      <c r="BM524" s="3"/>
      <c r="BN524" s="3" t="s">
        <v>2061</v>
      </c>
    </row>
    <row r="525" spans="2:66" ht="12.95" customHeight="1">
      <c r="B525" s="1630" t="s">
        <v>418</v>
      </c>
      <c r="C525" s="1631"/>
      <c r="D525" s="1631"/>
      <c r="E525" s="1631"/>
      <c r="F525" s="1631"/>
      <c r="G525" s="1631"/>
      <c r="H525" s="1632"/>
      <c r="I525" s="42" t="s">
        <v>415</v>
      </c>
      <c r="J525" s="42"/>
      <c r="K525" s="42"/>
      <c r="L525" s="42"/>
      <c r="M525" s="42"/>
      <c r="N525" s="42"/>
      <c r="O525" s="42"/>
      <c r="P525" s="42"/>
      <c r="Q525" s="42"/>
      <c r="R525" s="42"/>
      <c r="S525" s="42"/>
      <c r="T525" s="42"/>
      <c r="U525" s="42"/>
      <c r="V525" s="42"/>
      <c r="W525" s="42"/>
      <c r="X525" s="42"/>
      <c r="Y525" s="42"/>
      <c r="Z525" s="42"/>
      <c r="AA525" s="42"/>
      <c r="AB525" s="42"/>
      <c r="AC525" s="1314">
        <v>3</v>
      </c>
      <c r="AD525" s="1315"/>
      <c r="AE525" s="1315"/>
      <c r="AF525" s="1315"/>
      <c r="AG525" s="129" t="s">
        <v>403</v>
      </c>
      <c r="AH525" s="1325">
        <v>2026</v>
      </c>
      <c r="AI525" s="1325"/>
      <c r="AJ525" s="1325"/>
      <c r="AK525" s="1326"/>
      <c r="AZ525" s="3"/>
      <c r="BB525" s="3"/>
      <c r="BC525" s="3"/>
      <c r="BD525" s="3"/>
      <c r="BE525" s="3"/>
      <c r="BF525" s="3"/>
      <c r="BG525" s="3"/>
      <c r="BH525" s="3"/>
      <c r="BI525" s="3"/>
      <c r="BJ525" s="3"/>
      <c r="BK525" s="3"/>
      <c r="BL525" s="3"/>
      <c r="BM525" s="3"/>
      <c r="BN525" s="3" t="s">
        <v>2062</v>
      </c>
    </row>
    <row r="526" spans="2:66" ht="12.95" customHeight="1">
      <c r="B526" s="1633"/>
      <c r="C526" s="1634"/>
      <c r="D526" s="1634"/>
      <c r="E526" s="1634"/>
      <c r="F526" s="1634"/>
      <c r="G526" s="1634"/>
      <c r="H526" s="1635"/>
      <c r="I526" t="s">
        <v>416</v>
      </c>
      <c r="AC526" s="1445">
        <v>3</v>
      </c>
      <c r="AD526" s="1446"/>
      <c r="AE526" s="1446"/>
      <c r="AF526" s="1446"/>
      <c r="AG526" s="13" t="s">
        <v>403</v>
      </c>
      <c r="AH526" s="1325">
        <v>2026</v>
      </c>
      <c r="AI526" s="1325"/>
      <c r="AJ526" s="1325"/>
      <c r="AK526" s="1326"/>
      <c r="BB526" s="3"/>
      <c r="BC526" s="3"/>
      <c r="BD526" s="3"/>
      <c r="BE526" s="3"/>
      <c r="BF526" s="3"/>
      <c r="BG526" s="3"/>
      <c r="BH526" s="3"/>
      <c r="BI526" s="3"/>
      <c r="BJ526" s="3"/>
      <c r="BK526" s="3"/>
      <c r="BL526" s="3"/>
      <c r="BM526" s="3"/>
      <c r="BN526" s="3" t="s">
        <v>2063</v>
      </c>
    </row>
    <row r="527" spans="2:66" ht="12.95" customHeight="1">
      <c r="B527" s="1636"/>
      <c r="C527" s="1637"/>
      <c r="D527" s="1637"/>
      <c r="E527" s="1637"/>
      <c r="F527" s="1637"/>
      <c r="G527" s="1637"/>
      <c r="H527" s="1638"/>
      <c r="I527" s="48" t="s">
        <v>417</v>
      </c>
      <c r="J527" s="48"/>
      <c r="K527" s="48"/>
      <c r="L527" s="48"/>
      <c r="M527" s="48"/>
      <c r="N527" s="48"/>
      <c r="O527" s="48"/>
      <c r="P527" s="48"/>
      <c r="Q527" s="48"/>
      <c r="R527" s="48"/>
      <c r="S527" s="48"/>
      <c r="T527" s="48"/>
      <c r="U527" s="48"/>
      <c r="V527" s="48"/>
      <c r="W527" s="48"/>
      <c r="X527" s="48"/>
      <c r="Y527" s="48"/>
      <c r="Z527" s="48"/>
      <c r="AA527" s="48"/>
      <c r="AB527" s="48"/>
      <c r="AC527" s="1445">
        <v>7</v>
      </c>
      <c r="AD527" s="1446"/>
      <c r="AE527" s="1446"/>
      <c r="AF527" s="1446"/>
      <c r="AG527" s="38" t="s">
        <v>403</v>
      </c>
      <c r="AH527" s="1325">
        <v>2029</v>
      </c>
      <c r="AI527" s="1325"/>
      <c r="AJ527" s="1325"/>
      <c r="AK527" s="1326"/>
      <c r="BB527" s="3"/>
      <c r="BC527" s="3"/>
      <c r="BD527" s="3"/>
      <c r="BE527" s="3"/>
      <c r="BF527" s="3"/>
      <c r="BG527" s="3"/>
      <c r="BH527" s="3"/>
      <c r="BI527" s="3"/>
      <c r="BJ527" s="3"/>
      <c r="BK527" s="3"/>
      <c r="BL527" s="3"/>
      <c r="BM527" s="3"/>
      <c r="BN527" s="3" t="s">
        <v>2064</v>
      </c>
    </row>
    <row r="528" spans="2:66" ht="12.95" customHeight="1">
      <c r="B528" s="1630" t="s">
        <v>419</v>
      </c>
      <c r="C528" s="1631"/>
      <c r="D528" s="1631"/>
      <c r="E528" s="1631"/>
      <c r="F528" s="1631"/>
      <c r="G528" s="1631"/>
      <c r="H528" s="1632"/>
      <c r="I528" s="41" t="s">
        <v>420</v>
      </c>
      <c r="J528" s="42"/>
      <c r="K528" s="42"/>
      <c r="L528" s="42"/>
      <c r="M528" s="42"/>
      <c r="N528" s="42"/>
      <c r="O528" s="1767" t="s">
        <v>2694</v>
      </c>
      <c r="P528" s="1680"/>
      <c r="Q528" s="1680"/>
      <c r="R528" s="1680"/>
      <c r="S528" s="1680"/>
      <c r="T528" s="1680"/>
      <c r="U528" s="1680"/>
      <c r="V528" s="1680"/>
      <c r="W528" s="1680"/>
      <c r="X528" s="1680"/>
      <c r="Y528" s="1680"/>
      <c r="Z528" s="1680"/>
      <c r="AA528" s="1680"/>
      <c r="AB528" s="58"/>
      <c r="AC528" s="1314"/>
      <c r="AD528" s="1315"/>
      <c r="AE528" s="1315"/>
      <c r="AF528" s="1315"/>
      <c r="AG528" s="129" t="s">
        <v>403</v>
      </c>
      <c r="AH528" s="1325"/>
      <c r="AI528" s="1325"/>
      <c r="AJ528" s="1325"/>
      <c r="AK528" s="1326"/>
      <c r="AZ528" s="3"/>
      <c r="BB528" s="3"/>
      <c r="BC528" s="3"/>
      <c r="BD528" s="3"/>
      <c r="BE528" s="3"/>
      <c r="BF528" s="3"/>
      <c r="BG528" s="3"/>
      <c r="BH528" s="3"/>
      <c r="BI528" s="3"/>
      <c r="BJ528" s="3"/>
      <c r="BK528" s="3"/>
      <c r="BL528" s="3"/>
      <c r="BM528" s="3"/>
      <c r="BN528" s="3" t="s">
        <v>2065</v>
      </c>
    </row>
    <row r="529" spans="2:66" ht="12.95" customHeight="1">
      <c r="B529" s="1633"/>
      <c r="C529" s="1634"/>
      <c r="D529" s="1634"/>
      <c r="E529" s="1634"/>
      <c r="F529" s="1634"/>
      <c r="G529" s="1634"/>
      <c r="H529" s="1635"/>
      <c r="I529" s="114" t="s">
        <v>421</v>
      </c>
      <c r="AB529" s="65"/>
      <c r="AC529" s="1445">
        <v>3</v>
      </c>
      <c r="AD529" s="1446"/>
      <c r="AE529" s="1446"/>
      <c r="AF529" s="1446"/>
      <c r="AG529" s="13" t="s">
        <v>403</v>
      </c>
      <c r="AH529" s="1325">
        <v>2026</v>
      </c>
      <c r="AI529" s="1325"/>
      <c r="AJ529" s="1325"/>
      <c r="AK529" s="1326"/>
      <c r="AZ529" s="3"/>
      <c r="BB529" s="3"/>
      <c r="BC529" s="3"/>
      <c r="BD529" s="3"/>
      <c r="BE529" s="3"/>
      <c r="BF529" s="3"/>
      <c r="BG529" s="3"/>
      <c r="BH529" s="3"/>
      <c r="BI529" s="3"/>
      <c r="BJ529" s="3"/>
      <c r="BK529" s="3"/>
      <c r="BL529" s="3"/>
      <c r="BM529" s="3"/>
      <c r="BN529" s="3" t="s">
        <v>2066</v>
      </c>
    </row>
    <row r="530" spans="2:66" ht="12.95" customHeight="1">
      <c r="B530" s="1633"/>
      <c r="C530" s="1634"/>
      <c r="D530" s="1634"/>
      <c r="E530" s="1634"/>
      <c r="F530" s="1634"/>
      <c r="G530" s="1634"/>
      <c r="H530" s="1635"/>
      <c r="I530" s="47" t="s">
        <v>422</v>
      </c>
      <c r="J530" s="48"/>
      <c r="K530" s="48"/>
      <c r="L530" s="48"/>
      <c r="M530" s="48"/>
      <c r="N530" s="48"/>
      <c r="O530" s="48"/>
      <c r="P530" s="48"/>
      <c r="Q530" s="48"/>
      <c r="R530" s="48"/>
      <c r="S530" s="48"/>
      <c r="T530" s="48"/>
      <c r="U530" s="48"/>
      <c r="V530" s="48"/>
      <c r="W530" s="48"/>
      <c r="X530" s="48"/>
      <c r="Y530" s="48"/>
      <c r="Z530" s="48"/>
      <c r="AA530" s="48"/>
      <c r="AB530" s="49"/>
      <c r="AC530" s="1445">
        <v>7</v>
      </c>
      <c r="AD530" s="1446"/>
      <c r="AE530" s="1446"/>
      <c r="AF530" s="1446"/>
      <c r="AG530" s="38" t="s">
        <v>403</v>
      </c>
      <c r="AH530" s="1325">
        <v>2029</v>
      </c>
      <c r="AI530" s="1325"/>
      <c r="AJ530" s="1325"/>
      <c r="AK530" s="1326"/>
      <c r="AZ530" s="3"/>
      <c r="BA530" s="3"/>
      <c r="BB530" s="3"/>
      <c r="BC530" s="3"/>
      <c r="BD530" s="3"/>
      <c r="BE530" s="3"/>
      <c r="BF530" s="3"/>
      <c r="BG530" s="3"/>
      <c r="BH530" s="3"/>
      <c r="BI530" s="3"/>
      <c r="BJ530" s="3"/>
      <c r="BK530" s="3"/>
      <c r="BL530" s="3"/>
      <c r="BM530" s="3"/>
      <c r="BN530" s="3" t="s">
        <v>2067</v>
      </c>
    </row>
    <row r="531" spans="2:66" ht="12.95" customHeight="1">
      <c r="B531" s="1633"/>
      <c r="C531" s="1634"/>
      <c r="D531" s="1634"/>
      <c r="E531" s="1634"/>
      <c r="F531" s="1634"/>
      <c r="G531" s="1634"/>
      <c r="H531" s="1635"/>
      <c r="I531" s="42" t="s">
        <v>423</v>
      </c>
      <c r="J531" s="42"/>
      <c r="K531" s="42"/>
      <c r="L531" s="42"/>
      <c r="M531" s="42"/>
      <c r="N531" s="42"/>
      <c r="O531" s="1767" t="s">
        <v>334</v>
      </c>
      <c r="P531" s="1680"/>
      <c r="Q531" s="1680"/>
      <c r="R531" s="1680"/>
      <c r="S531" s="1680"/>
      <c r="T531" s="1680"/>
      <c r="U531" s="1680"/>
      <c r="V531" s="1680"/>
      <c r="W531" s="1680"/>
      <c r="X531" s="1680"/>
      <c r="Y531" s="1680"/>
      <c r="Z531" s="1680"/>
      <c r="AA531" s="1680"/>
      <c r="AC531" s="1445" t="s">
        <v>590</v>
      </c>
      <c r="AD531" s="1446"/>
      <c r="AE531" s="1446"/>
      <c r="AF531" s="1446"/>
      <c r="AG531" s="13" t="s">
        <v>403</v>
      </c>
      <c r="AH531" s="1325"/>
      <c r="AI531" s="1325"/>
      <c r="AJ531" s="1325"/>
      <c r="AK531" s="1326"/>
      <c r="AZ531" s="3"/>
      <c r="BA531" s="3"/>
      <c r="BB531" s="3"/>
      <c r="BC531" s="3"/>
      <c r="BD531" s="3"/>
      <c r="BE531" s="3"/>
      <c r="BF531" s="3"/>
      <c r="BG531" s="3"/>
      <c r="BH531" s="3"/>
      <c r="BI531" s="3"/>
      <c r="BJ531" s="3"/>
      <c r="BK531" s="3"/>
      <c r="BL531" s="3"/>
      <c r="BM531" s="3"/>
      <c r="BN531" s="3" t="s">
        <v>2068</v>
      </c>
    </row>
    <row r="532" spans="2:66" ht="12.95" customHeight="1">
      <c r="B532" s="1633"/>
      <c r="C532" s="1634"/>
      <c r="D532" s="1634"/>
      <c r="E532" s="1634"/>
      <c r="F532" s="1634"/>
      <c r="G532" s="1634"/>
      <c r="H532" s="1635"/>
      <c r="I532" t="s">
        <v>421</v>
      </c>
      <c r="AC532" s="1445" t="s">
        <v>590</v>
      </c>
      <c r="AD532" s="1446"/>
      <c r="AE532" s="1446"/>
      <c r="AF532" s="1446"/>
      <c r="AG532" s="13" t="s">
        <v>403</v>
      </c>
      <c r="AH532" s="1325"/>
      <c r="AI532" s="1325"/>
      <c r="AJ532" s="1325"/>
      <c r="AK532" s="1326"/>
      <c r="AZ532" s="3"/>
      <c r="BA532" s="3"/>
      <c r="BB532" s="3"/>
      <c r="BC532" s="3"/>
      <c r="BD532" s="3"/>
      <c r="BE532" s="3"/>
      <c r="BF532" s="3"/>
      <c r="BG532" s="3"/>
      <c r="BH532" s="3"/>
      <c r="BI532" s="3"/>
      <c r="BJ532" s="3"/>
      <c r="BK532" s="3"/>
      <c r="BL532" s="3"/>
      <c r="BM532" s="3"/>
      <c r="BN532" s="3" t="s">
        <v>2069</v>
      </c>
    </row>
    <row r="533" spans="2:66" ht="12.95" customHeight="1">
      <c r="B533" s="1633"/>
      <c r="C533" s="1634"/>
      <c r="D533" s="1634"/>
      <c r="E533" s="1634"/>
      <c r="F533" s="1634"/>
      <c r="G533" s="1634"/>
      <c r="H533" s="1635"/>
      <c r="I533" s="48" t="s">
        <v>422</v>
      </c>
      <c r="J533" s="48"/>
      <c r="K533" s="48"/>
      <c r="L533" s="48"/>
      <c r="M533" s="48"/>
      <c r="N533" s="48"/>
      <c r="O533" s="48"/>
      <c r="P533" s="48"/>
      <c r="Q533" s="48"/>
      <c r="R533" s="48"/>
      <c r="S533" s="48"/>
      <c r="T533" s="48"/>
      <c r="U533" s="48"/>
      <c r="V533" s="48"/>
      <c r="W533" s="48"/>
      <c r="X533" s="48"/>
      <c r="Y533" s="48"/>
      <c r="Z533" s="48"/>
      <c r="AA533" s="48"/>
      <c r="AB533" s="48"/>
      <c r="AC533" s="1445" t="s">
        <v>590</v>
      </c>
      <c r="AD533" s="1446"/>
      <c r="AE533" s="1446"/>
      <c r="AF533" s="1446"/>
      <c r="AG533" s="38" t="s">
        <v>403</v>
      </c>
      <c r="AH533" s="1325"/>
      <c r="AI533" s="1325"/>
      <c r="AJ533" s="1325"/>
      <c r="AK533" s="1326"/>
      <c r="AZ533" s="3"/>
      <c r="BA533" s="3"/>
      <c r="BB533" s="3"/>
      <c r="BC533" s="3"/>
      <c r="BD533" s="3"/>
      <c r="BE533" s="3"/>
      <c r="BF533" s="3"/>
      <c r="BG533" s="3"/>
      <c r="BH533" s="3"/>
      <c r="BI533" s="3"/>
      <c r="BJ533" s="3"/>
      <c r="BK533" s="3"/>
      <c r="BL533" s="3"/>
      <c r="BM533" s="3"/>
      <c r="BN533" s="3" t="s">
        <v>2070</v>
      </c>
    </row>
    <row r="534" spans="2:66" ht="12.95" customHeight="1">
      <c r="B534" s="1633"/>
      <c r="C534" s="1634"/>
      <c r="D534" s="1634"/>
      <c r="E534" s="1634"/>
      <c r="F534" s="1634"/>
      <c r="G534" s="1634"/>
      <c r="H534" s="1635"/>
      <c r="I534" s="42" t="s">
        <v>423</v>
      </c>
      <c r="J534" s="42"/>
      <c r="K534" s="42"/>
      <c r="L534" s="42"/>
      <c r="M534" s="42"/>
      <c r="N534" s="42"/>
      <c r="O534" s="1767" t="s">
        <v>334</v>
      </c>
      <c r="P534" s="1680"/>
      <c r="Q534" s="1680"/>
      <c r="R534" s="1680"/>
      <c r="S534" s="1680"/>
      <c r="T534" s="1680"/>
      <c r="U534" s="1680"/>
      <c r="V534" s="1680"/>
      <c r="W534" s="1680"/>
      <c r="X534" s="1680"/>
      <c r="Y534" s="1680"/>
      <c r="Z534" s="1680"/>
      <c r="AA534" s="1680"/>
      <c r="AC534" s="1445" t="s">
        <v>590</v>
      </c>
      <c r="AD534" s="1446"/>
      <c r="AE534" s="1446"/>
      <c r="AF534" s="1446"/>
      <c r="AG534" s="13" t="s">
        <v>403</v>
      </c>
      <c r="AH534" s="1325"/>
      <c r="AI534" s="1325"/>
      <c r="AJ534" s="1325"/>
      <c r="AK534" s="1326"/>
      <c r="AZ534" s="3"/>
      <c r="BA534" s="3"/>
      <c r="BB534" s="3"/>
      <c r="BC534" s="3"/>
      <c r="BD534" s="3"/>
      <c r="BE534" s="3"/>
      <c r="BF534" s="3"/>
      <c r="BG534" s="3"/>
      <c r="BH534" s="3"/>
      <c r="BI534" s="3"/>
      <c r="BJ534" s="3"/>
      <c r="BK534" s="3"/>
      <c r="BL534" s="3"/>
      <c r="BM534" s="3"/>
      <c r="BN534" s="3" t="s">
        <v>2071</v>
      </c>
    </row>
    <row r="535" spans="2:66" ht="12.95" customHeight="1">
      <c r="B535" s="1633"/>
      <c r="C535" s="1634"/>
      <c r="D535" s="1634"/>
      <c r="E535" s="1634"/>
      <c r="F535" s="1634"/>
      <c r="G535" s="1634"/>
      <c r="H535" s="1635"/>
      <c r="I535" t="s">
        <v>421</v>
      </c>
      <c r="AC535" s="1445" t="s">
        <v>590</v>
      </c>
      <c r="AD535" s="1446"/>
      <c r="AE535" s="1446"/>
      <c r="AF535" s="1446"/>
      <c r="AG535" s="13" t="s">
        <v>403</v>
      </c>
      <c r="AH535" s="1325"/>
      <c r="AI535" s="1325"/>
      <c r="AJ535" s="1325"/>
      <c r="AK535" s="1326"/>
      <c r="AZ535" s="3"/>
      <c r="BA535" s="3"/>
      <c r="BB535" s="3"/>
      <c r="BC535" s="3"/>
      <c r="BD535" s="3"/>
      <c r="BE535" s="3"/>
      <c r="BF535" s="3"/>
      <c r="BG535" s="3"/>
      <c r="BH535" s="3"/>
      <c r="BI535" s="3"/>
      <c r="BJ535" s="3"/>
      <c r="BK535" s="3"/>
      <c r="BL535" s="3"/>
      <c r="BM535" s="3"/>
      <c r="BN535" s="3" t="s">
        <v>2072</v>
      </c>
    </row>
    <row r="536" spans="2:66" ht="12.95" customHeight="1">
      <c r="B536" s="1633"/>
      <c r="C536" s="1634"/>
      <c r="D536" s="1634"/>
      <c r="E536" s="1634"/>
      <c r="F536" s="1634"/>
      <c r="G536" s="1634"/>
      <c r="H536" s="1635"/>
      <c r="I536" s="48" t="s">
        <v>422</v>
      </c>
      <c r="J536" s="48"/>
      <c r="K536" s="48"/>
      <c r="L536" s="48"/>
      <c r="M536" s="48"/>
      <c r="N536" s="48"/>
      <c r="O536" s="48"/>
      <c r="P536" s="48"/>
      <c r="Q536" s="48"/>
      <c r="R536" s="48"/>
      <c r="S536" s="48"/>
      <c r="T536" s="48"/>
      <c r="U536" s="48"/>
      <c r="V536" s="48"/>
      <c r="W536" s="48"/>
      <c r="X536" s="48"/>
      <c r="Y536" s="48"/>
      <c r="Z536" s="48"/>
      <c r="AA536" s="48"/>
      <c r="AB536" s="48"/>
      <c r="AC536" s="1445" t="s">
        <v>590</v>
      </c>
      <c r="AD536" s="1446"/>
      <c r="AE536" s="1446"/>
      <c r="AF536" s="1446"/>
      <c r="AG536" s="38" t="s">
        <v>403</v>
      </c>
      <c r="AH536" s="1325"/>
      <c r="AI536" s="1325"/>
      <c r="AJ536" s="1325"/>
      <c r="AK536" s="1326"/>
      <c r="AZ536" s="3"/>
      <c r="BA536" s="3"/>
      <c r="BB536" s="3"/>
      <c r="BC536" s="3"/>
      <c r="BD536" s="3"/>
      <c r="BE536" s="3"/>
      <c r="BF536" s="3"/>
      <c r="BG536" s="3"/>
      <c r="BH536" s="3"/>
      <c r="BI536" s="3"/>
      <c r="BJ536" s="3"/>
      <c r="BK536" s="3"/>
      <c r="BL536" s="3"/>
      <c r="BM536" s="3"/>
      <c r="BN536" s="3" t="s">
        <v>2073</v>
      </c>
    </row>
    <row r="537" spans="2:66" ht="12.95" customHeight="1">
      <c r="B537" s="1633"/>
      <c r="C537" s="1634"/>
      <c r="D537" s="1634"/>
      <c r="E537" s="1634"/>
      <c r="F537" s="1634"/>
      <c r="G537" s="1634"/>
      <c r="H537" s="1635"/>
      <c r="I537" s="42" t="s">
        <v>423</v>
      </c>
      <c r="J537" s="42"/>
      <c r="K537" s="42"/>
      <c r="L537" s="42"/>
      <c r="M537" s="42"/>
      <c r="N537" s="42"/>
      <c r="O537" s="1767" t="s">
        <v>334</v>
      </c>
      <c r="P537" s="1680"/>
      <c r="Q537" s="1680"/>
      <c r="R537" s="1680"/>
      <c r="S537" s="1680"/>
      <c r="T537" s="1680"/>
      <c r="U537" s="1680"/>
      <c r="V537" s="1680"/>
      <c r="W537" s="1680"/>
      <c r="X537" s="1680"/>
      <c r="Y537" s="1680"/>
      <c r="Z537" s="1680"/>
      <c r="AA537" s="1680"/>
      <c r="AC537" s="1445" t="s">
        <v>590</v>
      </c>
      <c r="AD537" s="1446"/>
      <c r="AE537" s="1446"/>
      <c r="AF537" s="1446"/>
      <c r="AG537" s="13" t="s">
        <v>403</v>
      </c>
      <c r="AH537" s="1325"/>
      <c r="AI537" s="1325"/>
      <c r="AJ537" s="1325"/>
      <c r="AK537" s="1326"/>
      <c r="AZ537" s="3"/>
      <c r="BA537" s="3"/>
      <c r="BB537" s="3"/>
      <c r="BC537" s="3"/>
      <c r="BD537" s="3"/>
      <c r="BE537" s="3"/>
      <c r="BF537" s="3"/>
      <c r="BG537" s="3"/>
      <c r="BH537" s="3"/>
      <c r="BI537" s="3"/>
      <c r="BJ537" s="3"/>
      <c r="BK537" s="3"/>
      <c r="BL537" s="3"/>
      <c r="BM537" s="3"/>
      <c r="BN537" s="3" t="s">
        <v>2074</v>
      </c>
    </row>
    <row r="538" spans="2:66" ht="12.95" customHeight="1">
      <c r="B538" s="1633"/>
      <c r="C538" s="1634"/>
      <c r="D538" s="1634"/>
      <c r="E538" s="1634"/>
      <c r="F538" s="1634"/>
      <c r="G538" s="1634"/>
      <c r="H538" s="1635"/>
      <c r="I538" t="s">
        <v>421</v>
      </c>
      <c r="AC538" s="1445" t="s">
        <v>590</v>
      </c>
      <c r="AD538" s="1446"/>
      <c r="AE538" s="1446"/>
      <c r="AF538" s="1446"/>
      <c r="AG538" s="13" t="s">
        <v>403</v>
      </c>
      <c r="AH538" s="1325"/>
      <c r="AI538" s="1325"/>
      <c r="AJ538" s="1325"/>
      <c r="AK538" s="1326"/>
      <c r="AZ538" s="3"/>
      <c r="BA538" s="3"/>
      <c r="BB538" s="3"/>
      <c r="BC538" s="3"/>
      <c r="BD538" s="3"/>
      <c r="BE538" s="3"/>
      <c r="BF538" s="3"/>
      <c r="BG538" s="3"/>
      <c r="BH538" s="3"/>
      <c r="BI538" s="3"/>
      <c r="BJ538" s="3"/>
      <c r="BK538" s="3"/>
      <c r="BL538" s="3"/>
      <c r="BM538" s="3"/>
      <c r="BN538" s="3" t="s">
        <v>2075</v>
      </c>
    </row>
    <row r="539" spans="2:66" ht="12.95" customHeight="1">
      <c r="B539" s="1633"/>
      <c r="C539" s="1634"/>
      <c r="D539" s="1634"/>
      <c r="E539" s="1634"/>
      <c r="F539" s="1634"/>
      <c r="G539" s="1634"/>
      <c r="H539" s="1635"/>
      <c r="I539" s="48" t="s">
        <v>422</v>
      </c>
      <c r="J539" s="48"/>
      <c r="K539" s="48"/>
      <c r="L539" s="48"/>
      <c r="M539" s="48"/>
      <c r="N539" s="48"/>
      <c r="O539" s="48"/>
      <c r="P539" s="48"/>
      <c r="Q539" s="48"/>
      <c r="R539" s="48"/>
      <c r="S539" s="48"/>
      <c r="T539" s="48"/>
      <c r="U539" s="48"/>
      <c r="V539" s="48"/>
      <c r="W539" s="48"/>
      <c r="X539" s="48"/>
      <c r="Y539" s="48"/>
      <c r="Z539" s="48"/>
      <c r="AA539" s="48"/>
      <c r="AB539" s="48"/>
      <c r="AC539" s="1445" t="s">
        <v>590</v>
      </c>
      <c r="AD539" s="1446"/>
      <c r="AE539" s="1446"/>
      <c r="AF539" s="1446"/>
      <c r="AG539" s="38" t="s">
        <v>403</v>
      </c>
      <c r="AH539" s="1325"/>
      <c r="AI539" s="1325"/>
      <c r="AJ539" s="1325"/>
      <c r="AK539" s="1326"/>
      <c r="AZ539" s="3"/>
      <c r="BA539" s="3"/>
      <c r="BB539" s="3"/>
      <c r="BC539" s="3"/>
      <c r="BD539" s="3"/>
      <c r="BE539" s="3"/>
      <c r="BF539" s="3"/>
      <c r="BG539" s="3"/>
      <c r="BH539" s="3"/>
      <c r="BI539" s="3"/>
      <c r="BJ539" s="3"/>
      <c r="BK539" s="3"/>
      <c r="BL539" s="3"/>
      <c r="BM539" s="3"/>
      <c r="BN539" s="3" t="s">
        <v>2076</v>
      </c>
    </row>
    <row r="540" spans="2:66" ht="12.95" customHeight="1">
      <c r="B540" s="1633"/>
      <c r="C540" s="1634"/>
      <c r="D540" s="1634"/>
      <c r="E540" s="1634"/>
      <c r="F540" s="1634"/>
      <c r="G540" s="1634"/>
      <c r="H540" s="1635"/>
      <c r="I540" s="42" t="s">
        <v>423</v>
      </c>
      <c r="J540" s="42"/>
      <c r="K540" s="42"/>
      <c r="L540" s="42"/>
      <c r="M540" s="42"/>
      <c r="N540" s="42"/>
      <c r="O540" s="1767" t="s">
        <v>334</v>
      </c>
      <c r="P540" s="1680"/>
      <c r="Q540" s="1680"/>
      <c r="R540" s="1680"/>
      <c r="S540" s="1680"/>
      <c r="T540" s="1680"/>
      <c r="U540" s="1680"/>
      <c r="V540" s="1680"/>
      <c r="W540" s="1680"/>
      <c r="X540" s="1680"/>
      <c r="Y540" s="1680"/>
      <c r="Z540" s="1680"/>
      <c r="AA540" s="1680"/>
      <c r="AC540" s="1445" t="s">
        <v>590</v>
      </c>
      <c r="AD540" s="1446"/>
      <c r="AE540" s="1446"/>
      <c r="AF540" s="1446"/>
      <c r="AG540" s="13" t="s">
        <v>403</v>
      </c>
      <c r="AH540" s="1325"/>
      <c r="AI540" s="1325"/>
      <c r="AJ540" s="1325"/>
      <c r="AK540" s="1326"/>
      <c r="AZ540" s="3"/>
      <c r="BA540" s="3"/>
      <c r="BB540" s="3"/>
      <c r="BC540" s="3"/>
      <c r="BD540" s="3"/>
      <c r="BE540" s="3"/>
      <c r="BF540" s="3"/>
      <c r="BG540" s="3"/>
      <c r="BH540" s="3"/>
      <c r="BI540" s="3"/>
      <c r="BJ540" s="3"/>
      <c r="BK540" s="3"/>
      <c r="BL540" s="3"/>
      <c r="BM540" s="3"/>
      <c r="BN540" s="3" t="s">
        <v>2077</v>
      </c>
    </row>
    <row r="541" spans="2:66" ht="12.95" customHeight="1">
      <c r="B541" s="1633"/>
      <c r="C541" s="1634"/>
      <c r="D541" s="1634"/>
      <c r="E541" s="1634"/>
      <c r="F541" s="1634"/>
      <c r="G541" s="1634"/>
      <c r="H541" s="1635"/>
      <c r="I541" t="s">
        <v>421</v>
      </c>
      <c r="AC541" s="1445" t="s">
        <v>590</v>
      </c>
      <c r="AD541" s="1446"/>
      <c r="AE541" s="1446"/>
      <c r="AF541" s="1446"/>
      <c r="AG541" s="38" t="s">
        <v>403</v>
      </c>
      <c r="AH541" s="1325"/>
      <c r="AI541" s="1325"/>
      <c r="AJ541" s="1325"/>
      <c r="AK541" s="1326"/>
      <c r="AZ541" s="3"/>
      <c r="BA541" s="3"/>
      <c r="BB541" s="3"/>
      <c r="BC541" s="3"/>
      <c r="BD541" s="3"/>
      <c r="BE541" s="3"/>
      <c r="BF541" s="3"/>
      <c r="BG541" s="3"/>
      <c r="BH541" s="3"/>
      <c r="BI541" s="3"/>
      <c r="BJ541" s="3"/>
      <c r="BK541" s="3"/>
      <c r="BL541" s="3"/>
      <c r="BM541" s="3"/>
      <c r="BN541" s="3" t="s">
        <v>2078</v>
      </c>
    </row>
    <row r="542" spans="2:66" ht="12.95" customHeight="1">
      <c r="B542" s="1633"/>
      <c r="C542" s="1634"/>
      <c r="D542" s="1634"/>
      <c r="E542" s="1634"/>
      <c r="F542" s="1634"/>
      <c r="G542" s="1634"/>
      <c r="H542" s="1635"/>
      <c r="I542" s="48" t="s">
        <v>422</v>
      </c>
      <c r="J542" s="48"/>
      <c r="K542" s="48"/>
      <c r="L542" s="48"/>
      <c r="M542" s="48"/>
      <c r="N542" s="48"/>
      <c r="O542" s="48"/>
      <c r="P542" s="48"/>
      <c r="Q542" s="48"/>
      <c r="R542" s="48"/>
      <c r="S542" s="48"/>
      <c r="T542" s="48"/>
      <c r="U542" s="48"/>
      <c r="V542" s="48"/>
      <c r="W542" s="48"/>
      <c r="X542" s="48"/>
      <c r="Y542" s="48"/>
      <c r="Z542" s="48"/>
      <c r="AA542" s="48"/>
      <c r="AB542" s="48"/>
      <c r="AC542" s="1445" t="s">
        <v>590</v>
      </c>
      <c r="AD542" s="1446"/>
      <c r="AE542" s="1446"/>
      <c r="AF542" s="1446"/>
      <c r="AG542" s="13" t="s">
        <v>403</v>
      </c>
      <c r="AH542" s="1325"/>
      <c r="AI542" s="1325"/>
      <c r="AJ542" s="1325"/>
      <c r="AK542" s="1326"/>
      <c r="AZ542" s="3"/>
      <c r="BA542" s="3"/>
      <c r="BB542" s="3"/>
      <c r="BC542" s="3"/>
      <c r="BD542" s="3"/>
      <c r="BE542" s="3"/>
      <c r="BF542" s="3"/>
      <c r="BG542" s="3"/>
      <c r="BH542" s="3"/>
      <c r="BI542" s="3"/>
      <c r="BJ542" s="3"/>
      <c r="BK542" s="3"/>
      <c r="BL542" s="3"/>
      <c r="BM542" s="3"/>
      <c r="BN542" s="3" t="s">
        <v>2079</v>
      </c>
    </row>
    <row r="543" spans="2:66" ht="12.95" customHeight="1">
      <c r="B543" s="1633"/>
      <c r="C543" s="1634"/>
      <c r="D543" s="1634"/>
      <c r="E543" s="1634"/>
      <c r="F543" s="1634"/>
      <c r="G543" s="1634"/>
      <c r="H543" s="1635"/>
      <c r="I543" s="42" t="s">
        <v>423</v>
      </c>
      <c r="J543" s="42"/>
      <c r="K543" s="42"/>
      <c r="L543" s="42"/>
      <c r="M543" s="42"/>
      <c r="N543" s="42"/>
      <c r="O543" s="1767" t="s">
        <v>334</v>
      </c>
      <c r="P543" s="1680"/>
      <c r="Q543" s="1680"/>
      <c r="R543" s="1680"/>
      <c r="S543" s="1680"/>
      <c r="T543" s="1680"/>
      <c r="U543" s="1680"/>
      <c r="V543" s="1680"/>
      <c r="W543" s="1680"/>
      <c r="X543" s="1680"/>
      <c r="Y543" s="1680"/>
      <c r="Z543" s="1680"/>
      <c r="AA543" s="1680"/>
      <c r="AC543" s="1445" t="s">
        <v>590</v>
      </c>
      <c r="AD543" s="1446"/>
      <c r="AE543" s="1446"/>
      <c r="AF543" s="1446"/>
      <c r="AG543" s="38" t="s">
        <v>403</v>
      </c>
      <c r="AH543" s="1325"/>
      <c r="AI543" s="1325"/>
      <c r="AJ543" s="1325"/>
      <c r="AK543" s="1326"/>
      <c r="AZ543" s="3"/>
      <c r="BA543" s="3"/>
      <c r="BB543" s="3"/>
      <c r="BC543" s="3"/>
      <c r="BD543" s="3"/>
      <c r="BE543" s="3"/>
      <c r="BF543" s="3"/>
      <c r="BG543" s="3"/>
      <c r="BH543" s="3"/>
      <c r="BI543" s="3"/>
      <c r="BJ543" s="3"/>
      <c r="BK543" s="3"/>
      <c r="BL543" s="3"/>
      <c r="BM543" s="3"/>
      <c r="BN543" s="3" t="s">
        <v>2080</v>
      </c>
    </row>
    <row r="544" spans="2:66" ht="12.95" customHeight="1">
      <c r="B544" s="1633"/>
      <c r="C544" s="1634"/>
      <c r="D544" s="1634"/>
      <c r="E544" s="1634"/>
      <c r="F544" s="1634"/>
      <c r="G544" s="1634"/>
      <c r="H544" s="1635"/>
      <c r="I544" t="s">
        <v>421</v>
      </c>
      <c r="AC544" s="1445" t="s">
        <v>590</v>
      </c>
      <c r="AD544" s="1446"/>
      <c r="AE544" s="1446"/>
      <c r="AF544" s="1446"/>
      <c r="AG544" s="13" t="s">
        <v>403</v>
      </c>
      <c r="AH544" s="1325"/>
      <c r="AI544" s="1325"/>
      <c r="AJ544" s="1325"/>
      <c r="AK544" s="1326"/>
      <c r="AZ544" s="3"/>
      <c r="BA544" s="3"/>
      <c r="BB544" s="3"/>
      <c r="BC544" s="3"/>
      <c r="BD544" s="3"/>
      <c r="BE544" s="3"/>
      <c r="BF544" s="3"/>
      <c r="BG544" s="3"/>
      <c r="BH544" s="3"/>
      <c r="BI544" s="3"/>
      <c r="BJ544" s="3"/>
      <c r="BK544" s="3"/>
      <c r="BL544" s="3"/>
      <c r="BM544" s="3"/>
      <c r="BN544" s="3" t="s">
        <v>2081</v>
      </c>
    </row>
    <row r="545" spans="1:66" ht="12.95" customHeight="1">
      <c r="B545" s="1633"/>
      <c r="C545" s="1634"/>
      <c r="D545" s="1634"/>
      <c r="E545" s="1634"/>
      <c r="F545" s="1634"/>
      <c r="G545" s="1634"/>
      <c r="H545" s="1635"/>
      <c r="I545" s="48" t="s">
        <v>422</v>
      </c>
      <c r="J545" s="48"/>
      <c r="K545" s="48"/>
      <c r="L545" s="48"/>
      <c r="M545" s="48"/>
      <c r="N545" s="48"/>
      <c r="O545" s="48"/>
      <c r="P545" s="48"/>
      <c r="Q545" s="48"/>
      <c r="R545" s="48"/>
      <c r="S545" s="48"/>
      <c r="T545" s="48"/>
      <c r="U545" s="48"/>
      <c r="V545" s="48"/>
      <c r="W545" s="48"/>
      <c r="X545" s="48"/>
      <c r="Y545" s="48"/>
      <c r="Z545" s="48"/>
      <c r="AA545" s="48"/>
      <c r="AB545" s="48"/>
      <c r="AC545" s="1445" t="s">
        <v>590</v>
      </c>
      <c r="AD545" s="1446"/>
      <c r="AE545" s="1446"/>
      <c r="AF545" s="1446"/>
      <c r="AG545" s="38" t="s">
        <v>403</v>
      </c>
      <c r="AH545" s="1325"/>
      <c r="AI545" s="1325"/>
      <c r="AJ545" s="1325"/>
      <c r="AK545" s="1326"/>
      <c r="AZ545" s="3"/>
      <c r="BA545" s="3"/>
      <c r="BB545" s="3"/>
      <c r="BC545" s="3"/>
      <c r="BD545" s="3"/>
      <c r="BE545" s="3"/>
      <c r="BF545" s="3"/>
      <c r="BG545" s="3"/>
      <c r="BH545" s="3"/>
      <c r="BI545" s="3"/>
      <c r="BJ545" s="3"/>
      <c r="BK545" s="3"/>
      <c r="BL545" s="3"/>
      <c r="BM545" s="3"/>
      <c r="BN545" s="3" t="s">
        <v>2082</v>
      </c>
    </row>
    <row r="546" spans="1:66" ht="12.95" customHeight="1">
      <c r="B546" s="1633"/>
      <c r="C546" s="1634"/>
      <c r="D546" s="1634"/>
      <c r="E546" s="1634"/>
      <c r="F546" s="1634"/>
      <c r="G546" s="1634"/>
      <c r="H546" s="1635"/>
      <c r="I546" s="42" t="s">
        <v>561</v>
      </c>
      <c r="J546" s="42"/>
      <c r="K546" s="42"/>
      <c r="L546" s="42"/>
      <c r="M546" s="42"/>
      <c r="N546" s="42"/>
      <c r="O546" s="42"/>
      <c r="P546" s="42"/>
      <c r="Q546" s="42"/>
      <c r="R546" s="42"/>
      <c r="S546" s="42"/>
      <c r="T546" s="42"/>
      <c r="U546" s="42"/>
      <c r="V546" s="42"/>
      <c r="W546" s="42"/>
      <c r="AC546" s="1445">
        <v>3</v>
      </c>
      <c r="AD546" s="1446"/>
      <c r="AE546" s="1446"/>
      <c r="AF546" s="1446"/>
      <c r="AG546" s="38" t="s">
        <v>403</v>
      </c>
      <c r="AH546" s="1325">
        <v>2027</v>
      </c>
      <c r="AI546" s="1325"/>
      <c r="AJ546" s="1325"/>
      <c r="AK546" s="1326"/>
      <c r="AZ546" s="3"/>
      <c r="BA546" s="3"/>
      <c r="BB546" s="3"/>
      <c r="BC546" s="3"/>
      <c r="BD546" s="3"/>
      <c r="BE546" s="3"/>
      <c r="BF546" s="3"/>
      <c r="BG546" s="3"/>
      <c r="BH546" s="3"/>
      <c r="BI546" s="3"/>
      <c r="BJ546" s="3"/>
      <c r="BK546" s="3"/>
      <c r="BL546" s="3"/>
      <c r="BM546" s="3"/>
      <c r="BN546" s="3"/>
    </row>
    <row r="547" spans="1:66" ht="12.95" customHeight="1">
      <c r="B547" s="1633"/>
      <c r="C547" s="1634"/>
      <c r="D547" s="1634"/>
      <c r="E547" s="1634"/>
      <c r="F547" s="1634"/>
      <c r="G547" s="1634"/>
      <c r="H547" s="1635"/>
      <c r="I547" t="s">
        <v>562</v>
      </c>
      <c r="AC547" s="1445">
        <v>2</v>
      </c>
      <c r="AD547" s="1446"/>
      <c r="AE547" s="1446"/>
      <c r="AF547" s="1446"/>
      <c r="AG547" s="13" t="s">
        <v>403</v>
      </c>
      <c r="AH547" s="1325">
        <v>2027</v>
      </c>
      <c r="AI547" s="1325"/>
      <c r="AJ547" s="1325"/>
      <c r="AK547" s="1326"/>
      <c r="AZ547" s="3"/>
      <c r="BA547" s="3"/>
      <c r="BB547" s="3"/>
      <c r="BC547" s="3"/>
      <c r="BD547" s="3"/>
      <c r="BE547" s="3"/>
      <c r="BF547" s="3"/>
      <c r="BG547" s="3"/>
      <c r="BH547" s="3"/>
      <c r="BI547" s="3"/>
      <c r="BJ547" s="3"/>
      <c r="BK547" s="3"/>
      <c r="BL547" s="3"/>
      <c r="BM547" s="3"/>
      <c r="BN547" s="3"/>
    </row>
    <row r="548" spans="1:66" ht="12.95" customHeight="1">
      <c r="B548" s="1633"/>
      <c r="C548" s="1634"/>
      <c r="D548" s="1634"/>
      <c r="E548" s="1634"/>
      <c r="F548" s="1634"/>
      <c r="G548" s="1634"/>
      <c r="H548" s="1635"/>
      <c r="I548" t="s">
        <v>563</v>
      </c>
      <c r="AC548" s="1445">
        <v>2</v>
      </c>
      <c r="AD548" s="1446"/>
      <c r="AE548" s="1446"/>
      <c r="AF548" s="1446"/>
      <c r="AG548" s="38" t="s">
        <v>403</v>
      </c>
      <c r="AH548" s="1325">
        <v>2029</v>
      </c>
      <c r="AI548" s="1325"/>
      <c r="AJ548" s="1325"/>
      <c r="AK548" s="1326"/>
      <c r="AZ548" s="3"/>
      <c r="BA548" s="3"/>
      <c r="BB548" s="3"/>
      <c r="BC548" s="3"/>
      <c r="BD548" s="3"/>
      <c r="BE548" s="3"/>
      <c r="BF548" s="3"/>
      <c r="BG548" s="3"/>
      <c r="BH548" s="3"/>
      <c r="BI548" s="3"/>
      <c r="BJ548" s="3"/>
      <c r="BK548" s="3"/>
      <c r="BL548" s="3"/>
      <c r="BM548" s="3"/>
      <c r="BN548" s="3"/>
    </row>
    <row r="549" spans="1:66" ht="12.95" customHeight="1">
      <c r="B549" s="1633"/>
      <c r="C549" s="1634"/>
      <c r="D549" s="1634"/>
      <c r="E549" s="1634"/>
      <c r="F549" s="1634"/>
      <c r="G549" s="1634"/>
      <c r="H549" s="1635"/>
      <c r="I549" t="s">
        <v>564</v>
      </c>
      <c r="AC549" s="1445">
        <f>AC550+3</f>
        <v>9</v>
      </c>
      <c r="AD549" s="1446"/>
      <c r="AE549" s="1446"/>
      <c r="AF549" s="1446"/>
      <c r="AG549" s="38" t="s">
        <v>403</v>
      </c>
      <c r="AH549" s="1325">
        <v>2029</v>
      </c>
      <c r="AI549" s="1325"/>
      <c r="AJ549" s="1325"/>
      <c r="AK549" s="1326"/>
      <c r="AZ549" s="3"/>
      <c r="BA549" s="3"/>
      <c r="BB549" s="3"/>
      <c r="BC549" s="3"/>
      <c r="BD549" s="3"/>
      <c r="BE549" s="3"/>
      <c r="BF549" s="3"/>
      <c r="BG549" s="3"/>
      <c r="BH549" s="3"/>
      <c r="BI549" s="3"/>
      <c r="BJ549" s="3"/>
      <c r="BK549" s="3"/>
      <c r="BL549" s="3"/>
      <c r="BM549" s="3"/>
      <c r="BN549" s="3"/>
    </row>
    <row r="550" spans="1:66" ht="12.95" customHeight="1">
      <c r="B550" s="1636"/>
      <c r="C550" s="1637"/>
      <c r="D550" s="1637"/>
      <c r="E550" s="1637"/>
      <c r="F550" s="1637"/>
      <c r="G550" s="1637"/>
      <c r="H550" s="1638"/>
      <c r="I550" s="48" t="s">
        <v>450</v>
      </c>
      <c r="J550" s="48"/>
      <c r="K550" s="48"/>
      <c r="L550" s="48"/>
      <c r="M550" s="48"/>
      <c r="N550" s="48"/>
      <c r="O550" s="48"/>
      <c r="P550" s="48"/>
      <c r="Q550" s="48"/>
      <c r="R550" s="48"/>
      <c r="S550" s="48"/>
      <c r="T550" s="48"/>
      <c r="U550" s="48"/>
      <c r="V550" s="48"/>
      <c r="W550" s="48"/>
      <c r="X550" s="48"/>
      <c r="Y550" s="48"/>
      <c r="Z550" s="48"/>
      <c r="AA550" s="48"/>
      <c r="AB550" s="48"/>
      <c r="AC550" s="1445">
        <v>6</v>
      </c>
      <c r="AD550" s="1446"/>
      <c r="AE550" s="1446"/>
      <c r="AF550" s="1446"/>
      <c r="AG550" s="38" t="s">
        <v>403</v>
      </c>
      <c r="AH550" s="1325">
        <v>2029</v>
      </c>
      <c r="AI550" s="1325"/>
      <c r="AJ550" s="1325"/>
      <c r="AK550" s="1326"/>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391" t="s">
        <v>542</v>
      </c>
      <c r="B552" s="1391"/>
      <c r="C552" s="1391"/>
      <c r="D552" s="1391"/>
      <c r="E552" s="1391"/>
      <c r="F552" s="1391"/>
      <c r="G552" s="1391"/>
      <c r="H552" s="1391"/>
      <c r="I552" s="1391"/>
      <c r="J552" s="1391"/>
      <c r="K552" s="1391"/>
      <c r="L552" s="1391"/>
      <c r="M552" s="1391"/>
      <c r="N552" s="1391"/>
      <c r="O552" s="1391"/>
      <c r="P552" s="1391"/>
      <c r="Q552" s="1391"/>
      <c r="R552" s="1391"/>
      <c r="S552" s="1391"/>
      <c r="T552" s="1391"/>
      <c r="U552" s="1391"/>
      <c r="V552" s="1391"/>
      <c r="W552" s="1391"/>
      <c r="X552" s="1391"/>
      <c r="Y552" s="1391"/>
      <c r="Z552" s="1391"/>
      <c r="AA552" s="1391"/>
      <c r="AB552" s="1391"/>
      <c r="AC552" s="1391"/>
      <c r="AD552" s="1391"/>
      <c r="AE552" s="1391"/>
      <c r="AF552" s="1391"/>
      <c r="AG552" s="1391"/>
      <c r="AH552" s="1391"/>
      <c r="AI552" s="1391"/>
      <c r="AJ552" s="1391"/>
      <c r="AK552" s="1391"/>
      <c r="AL552" s="1391"/>
      <c r="AM552" s="1391"/>
      <c r="AN552" s="1391"/>
      <c r="AO552" s="1391"/>
      <c r="AP552" s="1391"/>
      <c r="AQ552" s="1391"/>
      <c r="AR552" s="1391"/>
      <c r="AS552" s="1391"/>
      <c r="AT552" s="1391"/>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391"/>
      <c r="B553" s="1391"/>
      <c r="C553" s="1391"/>
      <c r="D553" s="1391"/>
      <c r="E553" s="1391"/>
      <c r="F553" s="1391"/>
      <c r="G553" s="1391"/>
      <c r="H553" s="1391"/>
      <c r="I553" s="1391"/>
      <c r="J553" s="1391"/>
      <c r="K553" s="1391"/>
      <c r="L553" s="1391"/>
      <c r="M553" s="1391"/>
      <c r="N553" s="1391"/>
      <c r="O553" s="1391"/>
      <c r="P553" s="1391"/>
      <c r="Q553" s="1391"/>
      <c r="R553" s="1391"/>
      <c r="S553" s="1391"/>
      <c r="T553" s="1391"/>
      <c r="U553" s="1391"/>
      <c r="V553" s="1391"/>
      <c r="W553" s="1391"/>
      <c r="X553" s="1391"/>
      <c r="Y553" s="1391"/>
      <c r="Z553" s="1391"/>
      <c r="AA553" s="1391"/>
      <c r="AB553" s="1391"/>
      <c r="AC553" s="1391"/>
      <c r="AD553" s="1391"/>
      <c r="AE553" s="1391"/>
      <c r="AF553" s="1391"/>
      <c r="AG553" s="1391"/>
      <c r="AH553" s="1391"/>
      <c r="AI553" s="1391"/>
      <c r="AJ553" s="1391"/>
      <c r="AK553" s="1391"/>
      <c r="AL553" s="1391"/>
      <c r="AM553" s="1391"/>
      <c r="AN553" s="1391"/>
      <c r="AO553" s="1391"/>
      <c r="AP553" s="1391"/>
      <c r="AQ553" s="1391"/>
      <c r="AR553" s="1391"/>
      <c r="AS553" s="1391"/>
      <c r="AT553" s="1391"/>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2054</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630" t="s">
        <v>2056</v>
      </c>
      <c r="C559" s="1631"/>
      <c r="D559" s="1631"/>
      <c r="E559" s="1631"/>
      <c r="F559" s="1631"/>
      <c r="G559" s="1631"/>
      <c r="H559" s="1631"/>
      <c r="I559" s="1631"/>
      <c r="J559" s="1631"/>
      <c r="K559" s="1631"/>
      <c r="L559" s="1632"/>
      <c r="M559" s="1630" t="s">
        <v>2057</v>
      </c>
      <c r="N559" s="1631"/>
      <c r="O559" s="1631"/>
      <c r="P559" s="1632"/>
      <c r="Q559" s="1630" t="s">
        <v>2083</v>
      </c>
      <c r="R559" s="1631"/>
      <c r="S559" s="1632"/>
      <c r="T559" s="1630" t="s">
        <v>2084</v>
      </c>
      <c r="U559" s="1631"/>
      <c r="V559" s="1632"/>
      <c r="W559" s="1630" t="s">
        <v>452</v>
      </c>
      <c r="X559" s="1631"/>
      <c r="Y559" s="1632"/>
      <c r="Z559" s="1630" t="s">
        <v>1826</v>
      </c>
      <c r="AA559" s="1631"/>
      <c r="AB559" s="1631"/>
      <c r="AC559" s="1631"/>
      <c r="AD559" s="1632"/>
      <c r="AE559" s="1630" t="s">
        <v>1664</v>
      </c>
      <c r="AF559" s="1631"/>
      <c r="AG559" s="1631"/>
      <c r="AH559" s="1632"/>
      <c r="AI559" s="1630" t="s">
        <v>1665</v>
      </c>
      <c r="AJ559" s="1631"/>
      <c r="AK559" s="1631"/>
      <c r="AL559" s="1632"/>
      <c r="AM559" s="1630" t="s">
        <v>453</v>
      </c>
      <c r="AN559" s="1631"/>
      <c r="AO559" s="1631"/>
      <c r="AP559" s="1631"/>
      <c r="AQ559" s="1631"/>
      <c r="AR559" s="1631"/>
      <c r="AS559" s="1632"/>
      <c r="BB559" s="3"/>
      <c r="BC559" s="3"/>
      <c r="BD559" s="3"/>
      <c r="BE559" s="3"/>
      <c r="BF559" s="3"/>
      <c r="BG559" s="3"/>
      <c r="BH559" s="3" t="s">
        <v>580</v>
      </c>
      <c r="BI559" s="3" t="str">
        <f>AG665</f>
        <v>Yes</v>
      </c>
    </row>
    <row r="560" spans="1:66" ht="12.95" customHeight="1">
      <c r="B560" s="1633"/>
      <c r="C560" s="1634"/>
      <c r="D560" s="1634"/>
      <c r="E560" s="1634"/>
      <c r="F560" s="1634"/>
      <c r="G560" s="1634"/>
      <c r="H560" s="1634"/>
      <c r="I560" s="1634"/>
      <c r="J560" s="1634"/>
      <c r="K560" s="1634"/>
      <c r="L560" s="1635"/>
      <c r="M560" s="1633"/>
      <c r="N560" s="1634"/>
      <c r="O560" s="1634"/>
      <c r="P560" s="1635"/>
      <c r="Q560" s="1633"/>
      <c r="R560" s="1634"/>
      <c r="S560" s="1635"/>
      <c r="T560" s="1633"/>
      <c r="U560" s="1634"/>
      <c r="V560" s="1635"/>
      <c r="W560" s="1633"/>
      <c r="X560" s="1634"/>
      <c r="Y560" s="1635"/>
      <c r="Z560" s="1633"/>
      <c r="AA560" s="1634"/>
      <c r="AB560" s="1634"/>
      <c r="AC560" s="1634"/>
      <c r="AD560" s="1635"/>
      <c r="AE560" s="1633"/>
      <c r="AF560" s="1634"/>
      <c r="AG560" s="1634"/>
      <c r="AH560" s="1635"/>
      <c r="AI560" s="1633"/>
      <c r="AJ560" s="1634"/>
      <c r="AK560" s="1634"/>
      <c r="AL560" s="1635"/>
      <c r="AM560" s="1633"/>
      <c r="AN560" s="1634"/>
      <c r="AO560" s="1634"/>
      <c r="AP560" s="1634"/>
      <c r="AQ560" s="1634"/>
      <c r="AR560" s="1634"/>
      <c r="AS560" s="1635"/>
      <c r="AU560" s="1141"/>
      <c r="BB560" s="3"/>
      <c r="BC560" s="3"/>
      <c r="BD560" s="3"/>
      <c r="BE560" s="3"/>
      <c r="BF560" s="3"/>
      <c r="BG560" s="3"/>
      <c r="BH560" s="3"/>
      <c r="BI560" s="3"/>
    </row>
    <row r="561" spans="1:61" ht="12.95" customHeight="1">
      <c r="B561" s="1636"/>
      <c r="C561" s="1637"/>
      <c r="D561" s="1637"/>
      <c r="E561" s="1637"/>
      <c r="F561" s="1637"/>
      <c r="G561" s="1637"/>
      <c r="H561" s="1637"/>
      <c r="I561" s="1637"/>
      <c r="J561" s="1637"/>
      <c r="K561" s="1637"/>
      <c r="L561" s="1638"/>
      <c r="M561" s="1636"/>
      <c r="N561" s="1637"/>
      <c r="O561" s="1637"/>
      <c r="P561" s="1638"/>
      <c r="Q561" s="1636"/>
      <c r="R561" s="1637"/>
      <c r="S561" s="1638"/>
      <c r="T561" s="1636"/>
      <c r="U561" s="1637"/>
      <c r="V561" s="1638"/>
      <c r="W561" s="1636"/>
      <c r="X561" s="1637"/>
      <c r="Y561" s="1638"/>
      <c r="Z561" s="1636"/>
      <c r="AA561" s="1637"/>
      <c r="AB561" s="1637"/>
      <c r="AC561" s="1637"/>
      <c r="AD561" s="1638"/>
      <c r="AE561" s="1636"/>
      <c r="AF561" s="1637"/>
      <c r="AG561" s="1637"/>
      <c r="AH561" s="1638"/>
      <c r="AI561" s="1636"/>
      <c r="AJ561" s="1637"/>
      <c r="AK561" s="1637"/>
      <c r="AL561" s="1638"/>
      <c r="AM561" s="1636"/>
      <c r="AN561" s="1637"/>
      <c r="AO561" s="1637"/>
      <c r="AP561" s="1637"/>
      <c r="AQ561" s="1637"/>
      <c r="AR561" s="1637"/>
      <c r="AS561" s="1638"/>
      <c r="AU561" s="1141"/>
      <c r="BB561" s="3"/>
      <c r="BC561" s="3"/>
      <c r="BD561" s="3"/>
      <c r="BE561" s="3"/>
      <c r="BF561" s="3"/>
      <c r="BG561" s="3"/>
      <c r="BH561" s="3"/>
      <c r="BI561" s="3"/>
    </row>
    <row r="562" spans="1:61" ht="12.95" customHeight="1">
      <c r="B562" s="51" t="s">
        <v>112</v>
      </c>
      <c r="C562" s="1395" t="s">
        <v>2663</v>
      </c>
      <c r="D562" s="1395"/>
      <c r="E562" s="1395"/>
      <c r="F562" s="1395"/>
      <c r="G562" s="1395"/>
      <c r="H562" s="1395"/>
      <c r="I562" s="1395"/>
      <c r="J562" s="1395"/>
      <c r="K562" s="1395"/>
      <c r="L562" s="1395"/>
      <c r="M562" s="1395" t="s">
        <v>2073</v>
      </c>
      <c r="N562" s="1395"/>
      <c r="O562" s="1395"/>
      <c r="P562" s="1395"/>
      <c r="Q562" s="1407">
        <v>24</v>
      </c>
      <c r="R562" s="1407"/>
      <c r="S562" s="1408"/>
      <c r="T562" s="1406"/>
      <c r="U562" s="1407"/>
      <c r="V562" s="1408"/>
      <c r="W562" s="1397">
        <v>7.0499999999999993E-2</v>
      </c>
      <c r="X562" s="1398"/>
      <c r="Y562" s="1399"/>
      <c r="Z562" s="1648" t="s">
        <v>2664</v>
      </c>
      <c r="AA562" s="1648"/>
      <c r="AB562" s="1648"/>
      <c r="AC562" s="1648"/>
      <c r="AD562" s="1648"/>
      <c r="AE562" s="1400">
        <v>1</v>
      </c>
      <c r="AF562" s="1401"/>
      <c r="AG562" s="1401"/>
      <c r="AH562" s="1402"/>
      <c r="AI562" s="1412"/>
      <c r="AJ562" s="1413"/>
      <c r="AK562" s="1413"/>
      <c r="AL562" s="1414"/>
      <c r="AM562" s="1366">
        <v>15758208</v>
      </c>
      <c r="AN562" s="1367"/>
      <c r="AO562" s="1367"/>
      <c r="AP562" s="1367"/>
      <c r="AQ562" s="1367"/>
      <c r="AR562" s="1367"/>
      <c r="AS562" s="1368"/>
      <c r="AT562" s="1142"/>
      <c r="AU562" s="1141"/>
      <c r="BB562" s="3"/>
      <c r="BC562" s="3"/>
      <c r="BD562" s="3"/>
      <c r="BE562" s="3"/>
      <c r="BF562" s="3"/>
      <c r="BG562" s="3"/>
      <c r="BH562" s="3"/>
      <c r="BI562" s="3"/>
    </row>
    <row r="563" spans="1:61" ht="12.95" customHeight="1">
      <c r="B563" s="52" t="s">
        <v>113</v>
      </c>
      <c r="C563" s="1396" t="s">
        <v>2663</v>
      </c>
      <c r="D563" s="1396"/>
      <c r="E563" s="1396"/>
      <c r="F563" s="1396"/>
      <c r="G563" s="1396"/>
      <c r="H563" s="1396"/>
      <c r="I563" s="1396"/>
      <c r="J563" s="1396"/>
      <c r="K563" s="1396"/>
      <c r="L563" s="1396"/>
      <c r="M563" s="1395" t="s">
        <v>2072</v>
      </c>
      <c r="N563" s="1395"/>
      <c r="O563" s="1395"/>
      <c r="P563" s="1395"/>
      <c r="Q563" s="1406">
        <v>24</v>
      </c>
      <c r="R563" s="1407"/>
      <c r="S563" s="1408"/>
      <c r="T563" s="1406"/>
      <c r="U563" s="1407"/>
      <c r="V563" s="1408"/>
      <c r="W563" s="1397">
        <v>7.2999999999999995E-2</v>
      </c>
      <c r="X563" s="1398"/>
      <c r="Y563" s="1399"/>
      <c r="Z563" s="1648" t="s">
        <v>2664</v>
      </c>
      <c r="AA563" s="1648"/>
      <c r="AB563" s="1648"/>
      <c r="AC563" s="1648"/>
      <c r="AD563" s="1648"/>
      <c r="AE563" s="1400">
        <v>2</v>
      </c>
      <c r="AF563" s="1401"/>
      <c r="AG563" s="1401"/>
      <c r="AH563" s="1402"/>
      <c r="AI563" s="1412"/>
      <c r="AJ563" s="1413"/>
      <c r="AK563" s="1413"/>
      <c r="AL563" s="1414"/>
      <c r="AM563" s="1366">
        <f>47745338-AM562</f>
        <v>31987130</v>
      </c>
      <c r="AN563" s="1367"/>
      <c r="AO563" s="1367"/>
      <c r="AP563" s="1367"/>
      <c r="AQ563" s="1367"/>
      <c r="AR563" s="1367"/>
      <c r="AS563" s="1368"/>
      <c r="AT563" s="1142" t="str">
        <f>IF(AND(NOT(C562=""),C563="",NOT(C564="")),"!","")</f>
        <v/>
      </c>
      <c r="AU563" s="1141"/>
      <c r="BB563" s="3"/>
      <c r="BC563" s="3"/>
      <c r="BD563" s="3"/>
      <c r="BE563" s="3"/>
      <c r="BF563" s="3"/>
      <c r="BG563" s="3"/>
      <c r="BH563" s="3"/>
      <c r="BI563" s="3"/>
    </row>
    <row r="564" spans="1:61" ht="12.95" customHeight="1">
      <c r="B564" s="52" t="s">
        <v>119</v>
      </c>
      <c r="C564" s="1396" t="s">
        <v>2665</v>
      </c>
      <c r="D564" s="1396"/>
      <c r="E564" s="1396"/>
      <c r="F564" s="1396"/>
      <c r="G564" s="1396"/>
      <c r="H564" s="1396"/>
      <c r="I564" s="1396"/>
      <c r="J564" s="1396"/>
      <c r="K564" s="1396"/>
      <c r="L564" s="1396"/>
      <c r="M564" s="1395" t="s">
        <v>2064</v>
      </c>
      <c r="N564" s="1395"/>
      <c r="O564" s="1395"/>
      <c r="P564" s="1395"/>
      <c r="Q564" s="1406"/>
      <c r="R564" s="1407"/>
      <c r="S564" s="1408"/>
      <c r="T564" s="1406"/>
      <c r="U564" s="1407"/>
      <c r="V564" s="1408"/>
      <c r="W564" s="1397"/>
      <c r="X564" s="1398"/>
      <c r="Y564" s="1399"/>
      <c r="Z564" s="1648" t="s">
        <v>590</v>
      </c>
      <c r="AA564" s="1648"/>
      <c r="AB564" s="1648"/>
      <c r="AC564" s="1648"/>
      <c r="AD564" s="1648"/>
      <c r="AE564" s="1400"/>
      <c r="AF564" s="1401"/>
      <c r="AG564" s="1401"/>
      <c r="AH564" s="1402"/>
      <c r="AI564" s="1412"/>
      <c r="AJ564" s="1413"/>
      <c r="AK564" s="1413"/>
      <c r="AL564" s="1414"/>
      <c r="AM564" s="1366">
        <v>4460769</v>
      </c>
      <c r="AN564" s="1367"/>
      <c r="AO564" s="1367"/>
      <c r="AP564" s="1367"/>
      <c r="AQ564" s="1367"/>
      <c r="AR564" s="1367"/>
      <c r="AS564" s="1368"/>
      <c r="AT564" s="1142" t="str">
        <f>IF(AND(NOT(C563=""),C564="",NOT(C565="")),"!","")</f>
        <v/>
      </c>
      <c r="AU564" s="1141"/>
      <c r="BB564" s="3"/>
      <c r="BC564" s="3"/>
      <c r="BD564" s="3"/>
      <c r="BE564" s="3"/>
      <c r="BF564" s="3"/>
      <c r="BG564" s="3"/>
      <c r="BH564" s="3"/>
      <c r="BI564" s="3"/>
    </row>
    <row r="565" spans="1:61" ht="12.95" customHeight="1">
      <c r="B565" s="52" t="s">
        <v>580</v>
      </c>
      <c r="C565" s="1396" t="s">
        <v>2746</v>
      </c>
      <c r="D565" s="1396"/>
      <c r="E565" s="1396"/>
      <c r="F565" s="1396"/>
      <c r="G565" s="1396"/>
      <c r="H565" s="1396"/>
      <c r="I565" s="1396"/>
      <c r="J565" s="1396"/>
      <c r="K565" s="1396"/>
      <c r="L565" s="1396"/>
      <c r="M565" s="1395" t="s">
        <v>2059</v>
      </c>
      <c r="N565" s="1395"/>
      <c r="O565" s="1395"/>
      <c r="P565" s="1395"/>
      <c r="Q565" s="1406"/>
      <c r="R565" s="1407"/>
      <c r="S565" s="1408"/>
      <c r="T565" s="1406"/>
      <c r="U565" s="1407"/>
      <c r="V565" s="1408"/>
      <c r="W565" s="1397"/>
      <c r="X565" s="1398"/>
      <c r="Y565" s="1399"/>
      <c r="Z565" s="1648" t="s">
        <v>590</v>
      </c>
      <c r="AA565" s="1648"/>
      <c r="AB565" s="1648"/>
      <c r="AC565" s="1648"/>
      <c r="AD565" s="1648"/>
      <c r="AE565" s="1400"/>
      <c r="AF565" s="1401"/>
      <c r="AG565" s="1401"/>
      <c r="AH565" s="1402"/>
      <c r="AI565" s="1412"/>
      <c r="AJ565" s="1413"/>
      <c r="AK565" s="1413"/>
      <c r="AL565" s="1414"/>
      <c r="AM565" s="1366">
        <f>'Sources and Uses Budget'!B105-SUM(Application!AM562:AS564)</f>
        <v>10400647</v>
      </c>
      <c r="AN565" s="1367"/>
      <c r="AO565" s="1367"/>
      <c r="AP565" s="1367"/>
      <c r="AQ565" s="1367"/>
      <c r="AR565" s="1367"/>
      <c r="AS565" s="1368"/>
      <c r="AT565" s="1142" t="str">
        <f>IF(AND(NOT(C564=""),C565="",NOT(C566="")),"!","")</f>
        <v/>
      </c>
      <c r="AU565" s="1141"/>
      <c r="BB565" s="3"/>
      <c r="BC565" s="3"/>
      <c r="BD565" s="3"/>
      <c r="BE565" s="3"/>
      <c r="BF565" s="3"/>
      <c r="BG565" s="3"/>
      <c r="BH565" s="3"/>
      <c r="BI565" s="3"/>
    </row>
    <row r="566" spans="1:61" ht="12.95" customHeight="1">
      <c r="B566" s="52" t="s">
        <v>762</v>
      </c>
      <c r="C566" s="1396"/>
      <c r="D566" s="1396"/>
      <c r="E566" s="1396"/>
      <c r="F566" s="1396"/>
      <c r="G566" s="1396"/>
      <c r="H566" s="1396"/>
      <c r="I566" s="1396"/>
      <c r="J566" s="1396"/>
      <c r="K566" s="1396"/>
      <c r="L566" s="1396"/>
      <c r="M566" s="1395" t="s">
        <v>1183</v>
      </c>
      <c r="N566" s="1395"/>
      <c r="O566" s="1395"/>
      <c r="P566" s="1395"/>
      <c r="Q566" s="1406"/>
      <c r="R566" s="1407"/>
      <c r="S566" s="1408"/>
      <c r="T566" s="1406"/>
      <c r="U566" s="1407"/>
      <c r="V566" s="1408"/>
      <c r="W566" s="1397"/>
      <c r="X566" s="1398"/>
      <c r="Y566" s="1399"/>
      <c r="Z566" s="1648" t="s">
        <v>1183</v>
      </c>
      <c r="AA566" s="1648"/>
      <c r="AB566" s="1648"/>
      <c r="AC566" s="1648"/>
      <c r="AD566" s="1648"/>
      <c r="AE566" s="1400"/>
      <c r="AF566" s="1401"/>
      <c r="AG566" s="1401"/>
      <c r="AH566" s="1402"/>
      <c r="AI566" s="1412"/>
      <c r="AJ566" s="1413"/>
      <c r="AK566" s="1413"/>
      <c r="AL566" s="1414"/>
      <c r="AM566" s="1366"/>
      <c r="AN566" s="1367"/>
      <c r="AO566" s="1367"/>
      <c r="AP566" s="1367"/>
      <c r="AQ566" s="1367"/>
      <c r="AR566" s="1367"/>
      <c r="AS566" s="1368"/>
      <c r="AT566" s="1142" t="str">
        <f t="shared" ref="AT566:AT573" si="2">IF(AND(NOT(C565=""),C566="",NOT(C567="")),"!","")</f>
        <v/>
      </c>
      <c r="AU566" s="1141"/>
      <c r="BB566" s="3"/>
      <c r="BC566" s="3"/>
      <c r="BD566" s="3"/>
      <c r="BE566" s="3"/>
      <c r="BF566" s="3"/>
      <c r="BG566" s="3"/>
      <c r="BH566" s="3" t="s">
        <v>762</v>
      </c>
      <c r="BI566" s="3" t="str">
        <f>N673</f>
        <v>No</v>
      </c>
    </row>
    <row r="567" spans="1:61" ht="12.95" customHeight="1">
      <c r="B567" s="52" t="s">
        <v>583</v>
      </c>
      <c r="C567" s="1396"/>
      <c r="D567" s="1396"/>
      <c r="E567" s="1396"/>
      <c r="F567" s="1396"/>
      <c r="G567" s="1396"/>
      <c r="H567" s="1396"/>
      <c r="I567" s="1396"/>
      <c r="J567" s="1396"/>
      <c r="K567" s="1396"/>
      <c r="L567" s="1396"/>
      <c r="M567" s="1395" t="s">
        <v>1183</v>
      </c>
      <c r="N567" s="1395"/>
      <c r="O567" s="1395"/>
      <c r="P567" s="1395"/>
      <c r="Q567" s="1406"/>
      <c r="R567" s="1407"/>
      <c r="S567" s="1408"/>
      <c r="T567" s="1406"/>
      <c r="U567" s="1407"/>
      <c r="V567" s="1408"/>
      <c r="W567" s="1397"/>
      <c r="X567" s="1398"/>
      <c r="Y567" s="1399"/>
      <c r="Z567" s="1648" t="s">
        <v>1183</v>
      </c>
      <c r="AA567" s="1648"/>
      <c r="AB567" s="1648"/>
      <c r="AC567" s="1648"/>
      <c r="AD567" s="1648"/>
      <c r="AE567" s="1400"/>
      <c r="AF567" s="1401"/>
      <c r="AG567" s="1401"/>
      <c r="AH567" s="1402"/>
      <c r="AI567" s="1412"/>
      <c r="AJ567" s="1413"/>
      <c r="AK567" s="1413"/>
      <c r="AL567" s="1414"/>
      <c r="AM567" s="1366"/>
      <c r="AN567" s="1367"/>
      <c r="AO567" s="1367"/>
      <c r="AP567" s="1367"/>
      <c r="AQ567" s="1367"/>
      <c r="AR567" s="1367"/>
      <c r="AS567" s="1368"/>
      <c r="AT567" s="1142" t="str">
        <f t="shared" si="2"/>
        <v/>
      </c>
      <c r="AU567" s="1141"/>
      <c r="BB567" s="3"/>
      <c r="BC567" s="3"/>
      <c r="BD567" s="3"/>
      <c r="BE567" s="3"/>
      <c r="BF567" s="3"/>
      <c r="BG567" s="3"/>
      <c r="BH567" s="3" t="s">
        <v>583</v>
      </c>
      <c r="BI567" s="3" t="str">
        <f>AG673</f>
        <v>No</v>
      </c>
    </row>
    <row r="568" spans="1:61" ht="12.95" customHeight="1">
      <c r="B568" s="52" t="s">
        <v>454</v>
      </c>
      <c r="C568" s="1396"/>
      <c r="D568" s="1396"/>
      <c r="E568" s="1396"/>
      <c r="F568" s="1396"/>
      <c r="G568" s="1396"/>
      <c r="H568" s="1396"/>
      <c r="I568" s="1396"/>
      <c r="J568" s="1396"/>
      <c r="K568" s="1396"/>
      <c r="L568" s="1396"/>
      <c r="M568" s="1395" t="s">
        <v>1183</v>
      </c>
      <c r="N568" s="1395"/>
      <c r="O568" s="1395"/>
      <c r="P568" s="1395"/>
      <c r="Q568" s="1406"/>
      <c r="R568" s="1407"/>
      <c r="S568" s="1408"/>
      <c r="T568" s="1406"/>
      <c r="U568" s="1407"/>
      <c r="V568" s="1408"/>
      <c r="W568" s="1397"/>
      <c r="X568" s="1398"/>
      <c r="Y568" s="1399"/>
      <c r="Z568" s="1648" t="s">
        <v>1183</v>
      </c>
      <c r="AA568" s="1648"/>
      <c r="AB568" s="1648"/>
      <c r="AC568" s="1648"/>
      <c r="AD568" s="1648"/>
      <c r="AE568" s="1400"/>
      <c r="AF568" s="1401"/>
      <c r="AG568" s="1401"/>
      <c r="AH568" s="1402"/>
      <c r="AI568" s="1412"/>
      <c r="AJ568" s="1413"/>
      <c r="AK568" s="1413"/>
      <c r="AL568" s="1414"/>
      <c r="AM568" s="1366"/>
      <c r="AN568" s="1367"/>
      <c r="AO568" s="1367"/>
      <c r="AP568" s="1367"/>
      <c r="AQ568" s="1367"/>
      <c r="AR568" s="1367"/>
      <c r="AS568" s="1368"/>
      <c r="AT568" s="1142" t="str">
        <f t="shared" si="2"/>
        <v/>
      </c>
      <c r="AU568" s="1141"/>
      <c r="BB568" s="3"/>
      <c r="BC568" s="3"/>
      <c r="BD568" s="3"/>
      <c r="BE568" s="3"/>
      <c r="BF568" s="3"/>
      <c r="BG568" s="3"/>
      <c r="BH568" s="3"/>
      <c r="BI568" s="3"/>
    </row>
    <row r="569" spans="1:61" ht="12.95" customHeight="1">
      <c r="B569" s="52" t="s">
        <v>455</v>
      </c>
      <c r="C569" s="1396"/>
      <c r="D569" s="1396"/>
      <c r="E569" s="1396"/>
      <c r="F569" s="1396"/>
      <c r="G569" s="1396"/>
      <c r="H569" s="1396"/>
      <c r="I569" s="1396"/>
      <c r="J569" s="1396"/>
      <c r="K569" s="1396"/>
      <c r="L569" s="1396"/>
      <c r="M569" s="1395" t="s">
        <v>1183</v>
      </c>
      <c r="N569" s="1395"/>
      <c r="O569" s="1395"/>
      <c r="P569" s="1395"/>
      <c r="Q569" s="1406"/>
      <c r="R569" s="1407"/>
      <c r="S569" s="1408"/>
      <c r="T569" s="1406"/>
      <c r="U569" s="1407"/>
      <c r="V569" s="1408"/>
      <c r="W569" s="1397"/>
      <c r="X569" s="1398"/>
      <c r="Y569" s="1399"/>
      <c r="Z569" s="1648" t="s">
        <v>1183</v>
      </c>
      <c r="AA569" s="1648"/>
      <c r="AB569" s="1648"/>
      <c r="AC569" s="1648"/>
      <c r="AD569" s="1648"/>
      <c r="AE569" s="1400"/>
      <c r="AF569" s="1401"/>
      <c r="AG569" s="1401"/>
      <c r="AH569" s="1402"/>
      <c r="AI569" s="1412"/>
      <c r="AJ569" s="1413"/>
      <c r="AK569" s="1413"/>
      <c r="AL569" s="1414"/>
      <c r="AM569" s="1366"/>
      <c r="AN569" s="1367"/>
      <c r="AO569" s="1367"/>
      <c r="AP569" s="1367"/>
      <c r="AQ569" s="1367"/>
      <c r="AR569" s="1367"/>
      <c r="AS569" s="1368"/>
      <c r="AT569" s="1142" t="str">
        <f t="shared" si="2"/>
        <v/>
      </c>
      <c r="AU569" s="1141"/>
      <c r="BB569" s="3"/>
      <c r="BC569" s="3"/>
      <c r="BD569" s="3"/>
      <c r="BE569" s="3"/>
      <c r="BF569" s="3"/>
      <c r="BG569" s="3"/>
      <c r="BH569" s="3"/>
      <c r="BI569" s="3"/>
    </row>
    <row r="570" spans="1:61" ht="12.95" customHeight="1">
      <c r="B570" s="52" t="s">
        <v>460</v>
      </c>
      <c r="C570" s="1396"/>
      <c r="D570" s="1396"/>
      <c r="E570" s="1396"/>
      <c r="F570" s="1396"/>
      <c r="G570" s="1396"/>
      <c r="H570" s="1396"/>
      <c r="I570" s="1396"/>
      <c r="J570" s="1396"/>
      <c r="K570" s="1396"/>
      <c r="L570" s="1396"/>
      <c r="M570" s="1395" t="s">
        <v>1183</v>
      </c>
      <c r="N570" s="1395"/>
      <c r="O570" s="1395"/>
      <c r="P570" s="1395"/>
      <c r="Q570" s="1406"/>
      <c r="R570" s="1407"/>
      <c r="S570" s="1408"/>
      <c r="T570" s="1406"/>
      <c r="U570" s="1407"/>
      <c r="V570" s="1408"/>
      <c r="W570" s="1397"/>
      <c r="X570" s="1398"/>
      <c r="Y570" s="1399"/>
      <c r="Z570" s="1648" t="s">
        <v>1183</v>
      </c>
      <c r="AA570" s="1648"/>
      <c r="AB570" s="1648"/>
      <c r="AC570" s="1648"/>
      <c r="AD570" s="1648"/>
      <c r="AE570" s="1400"/>
      <c r="AF570" s="1401"/>
      <c r="AG570" s="1401"/>
      <c r="AH570" s="1402"/>
      <c r="AI570" s="1412"/>
      <c r="AJ570" s="1413"/>
      <c r="AK570" s="1413"/>
      <c r="AL570" s="1414"/>
      <c r="AM570" s="1366"/>
      <c r="AN570" s="1367"/>
      <c r="AO570" s="1367"/>
      <c r="AP570" s="1367"/>
      <c r="AQ570" s="1367"/>
      <c r="AR570" s="1367"/>
      <c r="AS570" s="1368"/>
      <c r="AT570" s="1142" t="str">
        <f t="shared" si="2"/>
        <v/>
      </c>
      <c r="AU570" s="1141"/>
      <c r="BB570" s="3"/>
      <c r="BC570" s="3"/>
      <c r="BD570" s="3"/>
      <c r="BE570" s="3"/>
      <c r="BF570" s="3"/>
      <c r="BG570" s="3"/>
      <c r="BH570" s="3"/>
      <c r="BI570" s="3"/>
    </row>
    <row r="571" spans="1:61" ht="12.95" customHeight="1">
      <c r="B571" s="52" t="s">
        <v>645</v>
      </c>
      <c r="C571" s="1396"/>
      <c r="D571" s="1396"/>
      <c r="E571" s="1396"/>
      <c r="F571" s="1396"/>
      <c r="G571" s="1396"/>
      <c r="H571" s="1396"/>
      <c r="I571" s="1396"/>
      <c r="J571" s="1396"/>
      <c r="K571" s="1396"/>
      <c r="L571" s="1396"/>
      <c r="M571" s="1395" t="s">
        <v>1183</v>
      </c>
      <c r="N571" s="1395"/>
      <c r="O571" s="1395"/>
      <c r="P571" s="1395"/>
      <c r="Q571" s="1406"/>
      <c r="R571" s="1407"/>
      <c r="S571" s="1408"/>
      <c r="T571" s="1406"/>
      <c r="U571" s="1407"/>
      <c r="V571" s="1408"/>
      <c r="W571" s="1397"/>
      <c r="X571" s="1398"/>
      <c r="Y571" s="1399"/>
      <c r="Z571" s="1648" t="s">
        <v>1183</v>
      </c>
      <c r="AA571" s="1648"/>
      <c r="AB571" s="1648"/>
      <c r="AC571" s="1648"/>
      <c r="AD571" s="1648"/>
      <c r="AE571" s="1400"/>
      <c r="AF571" s="1401"/>
      <c r="AG571" s="1401"/>
      <c r="AH571" s="1402"/>
      <c r="AI571" s="1412"/>
      <c r="AJ571" s="1413"/>
      <c r="AK571" s="1413"/>
      <c r="AL571" s="1414"/>
      <c r="AM571" s="1366"/>
      <c r="AN571" s="1367"/>
      <c r="AO571" s="1367"/>
      <c r="AP571" s="1367"/>
      <c r="AQ571" s="1367"/>
      <c r="AR571" s="1367"/>
      <c r="AS571" s="1368"/>
      <c r="AT571" s="1142" t="str">
        <f t="shared" si="2"/>
        <v/>
      </c>
      <c r="BB571" s="3"/>
      <c r="BC571" s="3"/>
      <c r="BD571" s="3"/>
      <c r="BE571" s="3"/>
      <c r="BF571" s="3"/>
      <c r="BG571" s="3"/>
      <c r="BH571" s="3"/>
      <c r="BI571" s="3"/>
    </row>
    <row r="572" spans="1:61" ht="12.95" customHeight="1">
      <c r="B572" s="52" t="s">
        <v>362</v>
      </c>
      <c r="C572" s="1396"/>
      <c r="D572" s="1396"/>
      <c r="E572" s="1396"/>
      <c r="F572" s="1396"/>
      <c r="G572" s="1396"/>
      <c r="H572" s="1396"/>
      <c r="I572" s="1396"/>
      <c r="J572" s="1396"/>
      <c r="K572" s="1396"/>
      <c r="L572" s="1396"/>
      <c r="M572" s="1395" t="s">
        <v>1183</v>
      </c>
      <c r="N572" s="1395"/>
      <c r="O572" s="1395"/>
      <c r="P572" s="1395"/>
      <c r="Q572" s="1406"/>
      <c r="R572" s="1407"/>
      <c r="S572" s="1408"/>
      <c r="T572" s="1406"/>
      <c r="U572" s="1407"/>
      <c r="V572" s="1408"/>
      <c r="W572" s="1397"/>
      <c r="X572" s="1398"/>
      <c r="Y572" s="1399"/>
      <c r="Z572" s="1648" t="s">
        <v>1183</v>
      </c>
      <c r="AA572" s="1648"/>
      <c r="AB572" s="1648"/>
      <c r="AC572" s="1648"/>
      <c r="AD572" s="1648"/>
      <c r="AE572" s="1400"/>
      <c r="AF572" s="1401"/>
      <c r="AG572" s="1401"/>
      <c r="AH572" s="1402"/>
      <c r="AI572" s="1412"/>
      <c r="AJ572" s="1413"/>
      <c r="AK572" s="1413"/>
      <c r="AL572" s="1414"/>
      <c r="AM572" s="1366"/>
      <c r="AN572" s="1367"/>
      <c r="AO572" s="1367"/>
      <c r="AP572" s="1367"/>
      <c r="AQ572" s="1367"/>
      <c r="AR572" s="1367"/>
      <c r="AS572" s="1368"/>
      <c r="AT572" s="1142" t="str">
        <f t="shared" si="2"/>
        <v/>
      </c>
      <c r="BB572" s="3"/>
      <c r="BC572" s="3"/>
      <c r="BD572" s="3"/>
      <c r="BE572" s="3"/>
      <c r="BF572" s="3"/>
      <c r="BG572" s="3"/>
      <c r="BH572" s="3"/>
      <c r="BI572" s="3"/>
    </row>
    <row r="573" spans="1:61" ht="12.95" customHeight="1">
      <c r="B573" s="52" t="s">
        <v>363</v>
      </c>
      <c r="C573" s="1396"/>
      <c r="D573" s="1396"/>
      <c r="E573" s="1396"/>
      <c r="F573" s="1396"/>
      <c r="G573" s="1396"/>
      <c r="H573" s="1396"/>
      <c r="I573" s="1396"/>
      <c r="J573" s="1396"/>
      <c r="K573" s="1396"/>
      <c r="L573" s="1396"/>
      <c r="M573" s="1395" t="s">
        <v>1183</v>
      </c>
      <c r="N573" s="1395"/>
      <c r="O573" s="1395"/>
      <c r="P573" s="1395"/>
      <c r="Q573" s="1406"/>
      <c r="R573" s="1407"/>
      <c r="S573" s="1408"/>
      <c r="T573" s="1406"/>
      <c r="U573" s="1407"/>
      <c r="V573" s="1408"/>
      <c r="W573" s="1397"/>
      <c r="X573" s="1398"/>
      <c r="Y573" s="1399"/>
      <c r="Z573" s="1648" t="s">
        <v>1183</v>
      </c>
      <c r="AA573" s="1648"/>
      <c r="AB573" s="1648"/>
      <c r="AC573" s="1648"/>
      <c r="AD573" s="1648"/>
      <c r="AE573" s="1400"/>
      <c r="AF573" s="1401"/>
      <c r="AG573" s="1401"/>
      <c r="AH573" s="1402"/>
      <c r="AI573" s="1412"/>
      <c r="AJ573" s="1413"/>
      <c r="AK573" s="1413"/>
      <c r="AL573" s="1414"/>
      <c r="AM573" s="1366"/>
      <c r="AN573" s="1367"/>
      <c r="AO573" s="1367"/>
      <c r="AP573" s="1367"/>
      <c r="AQ573" s="1367"/>
      <c r="AR573" s="1367"/>
      <c r="AS573" s="1368"/>
      <c r="AT573" s="1142" t="str">
        <f t="shared" si="2"/>
        <v/>
      </c>
      <c r="BB573" s="3"/>
      <c r="BC573" s="3"/>
      <c r="BD573" s="3"/>
      <c r="BE573" s="3"/>
      <c r="BF573" s="3"/>
      <c r="BG573" s="3"/>
      <c r="BH573" s="3"/>
      <c r="BI573" s="3"/>
    </row>
    <row r="574" spans="1:61" ht="12.95" customHeight="1">
      <c r="B574" s="1388" t="s">
        <v>127</v>
      </c>
      <c r="C574" s="1389"/>
      <c r="D574" s="1389"/>
      <c r="E574" s="1389"/>
      <c r="F574" s="1389"/>
      <c r="G574" s="1389"/>
      <c r="H574" s="1389"/>
      <c r="I574" s="1389"/>
      <c r="J574" s="1389"/>
      <c r="K574" s="1389"/>
      <c r="L574" s="1389"/>
      <c r="M574" s="1389"/>
      <c r="N574" s="1389"/>
      <c r="O574" s="1389"/>
      <c r="P574" s="1389"/>
      <c r="Q574" s="1389"/>
      <c r="R574" s="1389"/>
      <c r="S574" s="1389"/>
      <c r="T574" s="1389"/>
      <c r="U574" s="1616"/>
      <c r="V574" s="1389"/>
      <c r="W574" s="1389"/>
      <c r="X574" s="1389"/>
      <c r="Y574" s="1389"/>
      <c r="Z574" s="1389"/>
      <c r="AA574" s="1389"/>
      <c r="AB574" s="1389"/>
      <c r="AC574" s="1389"/>
      <c r="AD574" s="1389"/>
      <c r="AE574" s="1389"/>
      <c r="AF574" s="1389"/>
      <c r="AG574" s="1389"/>
      <c r="AH574" s="1389"/>
      <c r="AI574" s="1389"/>
      <c r="AJ574" s="1389"/>
      <c r="AK574" s="1389"/>
      <c r="AL574" s="1390"/>
      <c r="AM574" s="1428">
        <f>SUM(AM562:AS573)</f>
        <v>62606754</v>
      </c>
      <c r="AN574" s="1429"/>
      <c r="AO574" s="1429"/>
      <c r="AP574" s="1429"/>
      <c r="AQ574" s="1429"/>
      <c r="AR574" s="1429"/>
      <c r="AS574" s="1430"/>
      <c r="BB574" s="3"/>
      <c r="BC574" s="3"/>
      <c r="BD574" s="3"/>
      <c r="BE574" s="3"/>
      <c r="BF574" s="3"/>
      <c r="BG574" s="3"/>
      <c r="BH574" s="3" t="s">
        <v>454</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5" customHeight="1">
      <c r="A576" s="55" t="s">
        <v>112</v>
      </c>
      <c r="B576" t="s">
        <v>462</v>
      </c>
      <c r="G576" s="1376" t="str">
        <f>C562</f>
        <v>Citi Community Capital</v>
      </c>
      <c r="H576" s="1376"/>
      <c r="I576" s="1376"/>
      <c r="J576" s="1376"/>
      <c r="K576" s="1376"/>
      <c r="L576" s="1376"/>
      <c r="M576" s="1376"/>
      <c r="N576" s="1376"/>
      <c r="O576" s="1376"/>
      <c r="P576" s="1376"/>
      <c r="Q576" s="1376"/>
      <c r="R576" s="1376"/>
      <c r="S576" s="8"/>
      <c r="T576" s="55" t="s">
        <v>113</v>
      </c>
      <c r="U576" t="s">
        <v>462</v>
      </c>
      <c r="Z576" s="1376" t="str">
        <f>C563</f>
        <v>Citi Community Capital</v>
      </c>
      <c r="AA576" s="1376"/>
      <c r="AB576" s="1376"/>
      <c r="AC576" s="1376"/>
      <c r="AD576" s="1376"/>
      <c r="AE576" s="1376"/>
      <c r="AF576" s="1376"/>
      <c r="AG576" s="1376"/>
      <c r="AH576" s="1376"/>
      <c r="AI576" s="1376"/>
      <c r="AJ576" s="1376"/>
      <c r="AK576" s="1376"/>
      <c r="BB576" s="3"/>
      <c r="BC576" s="3"/>
      <c r="BD576" s="3"/>
      <c r="BE576" s="3"/>
      <c r="BF576" s="3"/>
      <c r="BG576" s="3"/>
      <c r="BH576" s="3"/>
      <c r="BI576" s="3"/>
    </row>
    <row r="577" spans="1:61" ht="12.95" customHeight="1">
      <c r="A577" s="22"/>
      <c r="B577" t="s">
        <v>85</v>
      </c>
      <c r="G577" s="1377" t="s">
        <v>2666</v>
      </c>
      <c r="H577" s="1377"/>
      <c r="I577" s="1377"/>
      <c r="J577" s="1377"/>
      <c r="K577" s="1377"/>
      <c r="L577" s="1377"/>
      <c r="M577" s="1377"/>
      <c r="N577" s="1377"/>
      <c r="O577" s="1377"/>
      <c r="P577" s="1377"/>
      <c r="Q577" s="1377"/>
      <c r="R577" s="1377"/>
      <c r="S577" s="8"/>
      <c r="T577" s="22"/>
      <c r="U577" t="s">
        <v>85</v>
      </c>
      <c r="Z577" s="1377" t="str">
        <f>G577</f>
        <v>16601 Ventura Blvd., Suite 200</v>
      </c>
      <c r="AA577" s="1377"/>
      <c r="AB577" s="1377"/>
      <c r="AC577" s="1377"/>
      <c r="AD577" s="1377"/>
      <c r="AE577" s="1377"/>
      <c r="AF577" s="1377"/>
      <c r="AG577" s="1377"/>
      <c r="AH577" s="1377"/>
      <c r="AI577" s="1377"/>
      <c r="AJ577" s="1377"/>
      <c r="AK577" s="1377"/>
      <c r="BB577" s="3"/>
      <c r="BC577" s="3"/>
      <c r="BD577" s="3"/>
      <c r="BE577" s="3"/>
      <c r="BF577" s="3"/>
      <c r="BG577" s="3"/>
      <c r="BH577" s="3"/>
      <c r="BI577" s="3"/>
    </row>
    <row r="578" spans="1:61" ht="12.95" customHeight="1">
      <c r="A578" s="22"/>
      <c r="B578" t="s">
        <v>579</v>
      </c>
      <c r="G578" s="1377" t="s">
        <v>2667</v>
      </c>
      <c r="H578" s="1377"/>
      <c r="I578" s="1377"/>
      <c r="J578" s="1377"/>
      <c r="K578" s="1377"/>
      <c r="L578" s="1377"/>
      <c r="M578" s="1377"/>
      <c r="N578" s="1377"/>
      <c r="O578" s="1377"/>
      <c r="P578" s="1377"/>
      <c r="Q578" s="1377"/>
      <c r="R578" s="1377"/>
      <c r="T578" s="22"/>
      <c r="U578" t="s">
        <v>579</v>
      </c>
      <c r="Z578" s="1404" t="str">
        <f>G578</f>
        <v>Encino</v>
      </c>
      <c r="AA578" s="1404"/>
      <c r="AB578" s="1404"/>
      <c r="AC578" s="1404"/>
      <c r="AD578" s="1404"/>
      <c r="AE578" s="1404"/>
      <c r="AF578" s="1404"/>
      <c r="AG578" s="1404"/>
      <c r="AH578" s="1404"/>
      <c r="AI578" s="1404"/>
      <c r="AJ578" s="1404"/>
      <c r="AK578" s="1404"/>
      <c r="BB578" s="3"/>
      <c r="BC578" s="3"/>
      <c r="BD578" s="3"/>
      <c r="BE578" s="3"/>
      <c r="BF578" s="3"/>
      <c r="BG578" s="3"/>
      <c r="BH578" s="3"/>
      <c r="BI578" s="3"/>
    </row>
    <row r="579" spans="1:61" ht="12.95" customHeight="1">
      <c r="A579" s="22"/>
      <c r="B579" t="s">
        <v>17</v>
      </c>
      <c r="G579" s="1377" t="s">
        <v>2712</v>
      </c>
      <c r="H579" s="1377"/>
      <c r="I579" s="1377"/>
      <c r="J579" s="1377"/>
      <c r="K579" s="1377"/>
      <c r="L579" s="1377"/>
      <c r="M579" s="1377"/>
      <c r="N579" s="1377"/>
      <c r="O579" s="1377"/>
      <c r="P579" s="1377"/>
      <c r="Q579" s="1377"/>
      <c r="R579" s="1377"/>
      <c r="S579" s="8"/>
      <c r="T579" s="22"/>
      <c r="U579" t="s">
        <v>17</v>
      </c>
      <c r="Z579" s="1404" t="str">
        <f>G579</f>
        <v>Jacob St. Onge</v>
      </c>
      <c r="AA579" s="1404"/>
      <c r="AB579" s="1404"/>
      <c r="AC579" s="1404"/>
      <c r="AD579" s="1404"/>
      <c r="AE579" s="1404"/>
      <c r="AF579" s="1404"/>
      <c r="AG579" s="1404"/>
      <c r="AH579" s="1404"/>
      <c r="AI579" s="1404"/>
      <c r="AJ579" s="1404"/>
      <c r="AK579" s="1404"/>
      <c r="BB579" s="3"/>
      <c r="BC579" s="3"/>
      <c r="BD579" s="3"/>
      <c r="BE579" s="3"/>
      <c r="BF579" s="3"/>
      <c r="BG579" s="3"/>
      <c r="BH579" s="3"/>
      <c r="BI579" s="3"/>
    </row>
    <row r="580" spans="1:61" ht="12.95" customHeight="1">
      <c r="A580" s="22"/>
      <c r="B580" t="s">
        <v>316</v>
      </c>
      <c r="G580" s="1405">
        <v>4156583118</v>
      </c>
      <c r="H580" s="1405"/>
      <c r="I580" s="1405"/>
      <c r="J580" s="1405"/>
      <c r="K580" s="1405"/>
      <c r="L580" s="1405"/>
      <c r="O580" s="33" t="s">
        <v>206</v>
      </c>
      <c r="P580" s="1369"/>
      <c r="Q580" s="1369"/>
      <c r="R580" s="1369"/>
      <c r="S580" s="10"/>
      <c r="T580" s="22"/>
      <c r="U580" t="s">
        <v>316</v>
      </c>
      <c r="Z580" s="1405">
        <f>G580</f>
        <v>4156583118</v>
      </c>
      <c r="AA580" s="1405"/>
      <c r="AB580" s="1405"/>
      <c r="AC580" s="1405"/>
      <c r="AD580" s="1405"/>
      <c r="AE580" s="1405"/>
      <c r="AH580" s="33" t="s">
        <v>206</v>
      </c>
      <c r="AI580" s="1369"/>
      <c r="AJ580" s="1369"/>
      <c r="AK580" s="1369"/>
      <c r="BB580" s="3"/>
      <c r="BC580" s="3"/>
      <c r="BD580" s="3"/>
      <c r="BE580" s="3"/>
      <c r="BF580" s="3"/>
      <c r="BG580" s="3"/>
      <c r="BH580" s="3"/>
      <c r="BI580" s="3"/>
    </row>
    <row r="581" spans="1:61" ht="12.95" customHeight="1">
      <c r="A581" s="22"/>
      <c r="B581" t="s">
        <v>18</v>
      </c>
      <c r="H581" s="1377" t="s">
        <v>2073</v>
      </c>
      <c r="I581" s="1377"/>
      <c r="J581" s="1377"/>
      <c r="K581" s="1377"/>
      <c r="L581" s="1377"/>
      <c r="M581" s="1377"/>
      <c r="N581" s="1377"/>
      <c r="O581" s="1377"/>
      <c r="P581" s="1377"/>
      <c r="Q581" s="1377"/>
      <c r="R581" s="1377"/>
      <c r="S581" s="8"/>
      <c r="T581" s="22"/>
      <c r="U581" t="s">
        <v>18</v>
      </c>
      <c r="AA581" s="1377" t="s">
        <v>2072</v>
      </c>
      <c r="AB581" s="1377"/>
      <c r="AC581" s="1377"/>
      <c r="AD581" s="1377"/>
      <c r="AE581" s="1377"/>
      <c r="AF581" s="1377"/>
      <c r="AG581" s="1377"/>
      <c r="AH581" s="1377"/>
      <c r="AI581" s="1377"/>
      <c r="AJ581" s="1377"/>
      <c r="AK581" s="1377"/>
      <c r="BB581" s="3"/>
      <c r="BC581" s="3"/>
      <c r="BD581" s="3"/>
      <c r="BE581" s="3"/>
      <c r="BF581" s="3"/>
      <c r="BG581" s="3"/>
      <c r="BH581" s="3"/>
      <c r="BI581" s="3"/>
    </row>
    <row r="582" spans="1:61" ht="12.95" customHeight="1">
      <c r="A582" s="22"/>
      <c r="B582" s="320" t="s">
        <v>1184</v>
      </c>
      <c r="H582" s="8"/>
      <c r="I582" s="8"/>
      <c r="J582" s="8"/>
      <c r="K582" s="8"/>
      <c r="L582" s="8"/>
      <c r="M582" s="1620"/>
      <c r="N582" s="1620"/>
      <c r="O582" s="1620"/>
      <c r="P582" s="1620"/>
      <c r="Q582" s="1620"/>
      <c r="R582" s="1620"/>
      <c r="S582" s="8"/>
      <c r="T582" s="22"/>
      <c r="U582" s="320" t="s">
        <v>1184</v>
      </c>
      <c r="AA582" s="8"/>
      <c r="AB582" s="8"/>
      <c r="AC582" s="8"/>
      <c r="AD582" s="8"/>
      <c r="AE582" s="8"/>
      <c r="AF582" s="1620"/>
      <c r="AG582" s="1620"/>
      <c r="AH582" s="1620"/>
      <c r="AI582" s="1620"/>
      <c r="AJ582" s="1620"/>
      <c r="AK582" s="1620"/>
      <c r="BB582" s="3"/>
      <c r="BC582" s="3"/>
      <c r="BD582" s="3"/>
      <c r="BE582" s="3"/>
      <c r="BF582" s="3"/>
      <c r="BG582" s="3"/>
      <c r="BH582" s="3"/>
      <c r="BI582" s="3"/>
    </row>
    <row r="583" spans="1:61" ht="12.95" customHeight="1">
      <c r="A583" s="22"/>
      <c r="B583" t="s">
        <v>20</v>
      </c>
      <c r="N583" s="1269" t="s">
        <v>544</v>
      </c>
      <c r="O583" s="1269"/>
      <c r="T583" s="22"/>
      <c r="U583" t="s">
        <v>20</v>
      </c>
      <c r="AG583" s="1269" t="s">
        <v>544</v>
      </c>
      <c r="AH583" s="1269"/>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376" t="str">
        <f>C564</f>
        <v xml:space="preserve">R4 Capital </v>
      </c>
      <c r="H585" s="1376"/>
      <c r="I585" s="1376"/>
      <c r="J585" s="1376"/>
      <c r="K585" s="1376"/>
      <c r="L585" s="1376"/>
      <c r="M585" s="1376"/>
      <c r="N585" s="1376"/>
      <c r="O585" s="1376"/>
      <c r="P585" s="1376"/>
      <c r="Q585" s="1376"/>
      <c r="R585" s="1376"/>
      <c r="T585" s="55" t="s">
        <v>580</v>
      </c>
      <c r="U585" t="s">
        <v>462</v>
      </c>
      <c r="Z585" s="1376" t="str">
        <f>C565</f>
        <v>R2H Development - Deferred Costs and Fees</v>
      </c>
      <c r="AA585" s="1376"/>
      <c r="AB585" s="1376"/>
      <c r="AC585" s="1376"/>
      <c r="AD585" s="1376"/>
      <c r="AE585" s="1376"/>
      <c r="AF585" s="1376"/>
      <c r="AG585" s="1376"/>
      <c r="AH585" s="1376"/>
      <c r="AI585" s="1376"/>
      <c r="AJ585" s="1376"/>
      <c r="AK585" s="1376"/>
      <c r="BB585" s="3"/>
      <c r="BC585" s="3"/>
    </row>
    <row r="586" spans="1:61" ht="12.95" customHeight="1">
      <c r="A586" s="22"/>
      <c r="B586" t="s">
        <v>85</v>
      </c>
      <c r="G586" s="1377" t="str">
        <f>AA321</f>
        <v>895 Dove Street, Suite 450</v>
      </c>
      <c r="H586" s="1377"/>
      <c r="I586" s="1377"/>
      <c r="J586" s="1377"/>
      <c r="K586" s="1377"/>
      <c r="L586" s="1377"/>
      <c r="M586" s="1377"/>
      <c r="N586" s="1377"/>
      <c r="O586" s="1377"/>
      <c r="P586" s="1377"/>
      <c r="Q586" s="1377"/>
      <c r="R586" s="1377"/>
      <c r="T586" s="22"/>
      <c r="U586" t="s">
        <v>85</v>
      </c>
      <c r="Z586" s="1377" t="str">
        <f>H297</f>
        <v>12034 Nugent Dr</v>
      </c>
      <c r="AA586" s="1377"/>
      <c r="AB586" s="1377"/>
      <c r="AC586" s="1377"/>
      <c r="AD586" s="1377"/>
      <c r="AE586" s="1377"/>
      <c r="AF586" s="1377"/>
      <c r="AG586" s="1377"/>
      <c r="AH586" s="1377"/>
      <c r="AI586" s="1377"/>
      <c r="AJ586" s="1377"/>
      <c r="AK586" s="1377"/>
      <c r="BB586" s="3"/>
      <c r="BC586" s="3"/>
    </row>
    <row r="587" spans="1:61" ht="12.95" customHeight="1">
      <c r="A587" s="22"/>
      <c r="B587" t="s">
        <v>579</v>
      </c>
      <c r="G587" s="1293" t="s">
        <v>2684</v>
      </c>
      <c r="H587" s="1404"/>
      <c r="I587" s="1404"/>
      <c r="J587" s="1404"/>
      <c r="K587" s="1404"/>
      <c r="L587" s="1404"/>
      <c r="M587" s="1404"/>
      <c r="N587" s="1404"/>
      <c r="O587" s="1404"/>
      <c r="P587" s="1404"/>
      <c r="Q587" s="1404"/>
      <c r="R587" s="1404"/>
      <c r="T587" s="22"/>
      <c r="U587" t="s">
        <v>579</v>
      </c>
      <c r="Z587" s="1404" t="s">
        <v>2650</v>
      </c>
      <c r="AA587" s="1404"/>
      <c r="AB587" s="1404"/>
      <c r="AC587" s="1404"/>
      <c r="AD587" s="1404"/>
      <c r="AE587" s="1404"/>
      <c r="AF587" s="1404"/>
      <c r="AG587" s="1404"/>
      <c r="AH587" s="1404"/>
      <c r="AI587" s="1404"/>
      <c r="AJ587" s="1404"/>
      <c r="AK587" s="1404"/>
      <c r="BB587" s="3"/>
      <c r="BC587" s="3"/>
    </row>
    <row r="588" spans="1:61" ht="12.95" customHeight="1">
      <c r="A588" s="22"/>
      <c r="B588" t="s">
        <v>17</v>
      </c>
      <c r="G588" s="1404" t="s">
        <v>2668</v>
      </c>
      <c r="H588" s="1404"/>
      <c r="I588" s="1404"/>
      <c r="J588" s="1404"/>
      <c r="K588" s="1404"/>
      <c r="L588" s="1404"/>
      <c r="M588" s="1404"/>
      <c r="N588" s="1404"/>
      <c r="O588" s="1404"/>
      <c r="P588" s="1404"/>
      <c r="Q588" s="1404"/>
      <c r="R588" s="1404"/>
      <c r="T588" s="22"/>
      <c r="U588" t="s">
        <v>17</v>
      </c>
      <c r="Z588" s="1404" t="str">
        <f>H299</f>
        <v>Aaron Mensch</v>
      </c>
      <c r="AA588" s="1404"/>
      <c r="AB588" s="1404"/>
      <c r="AC588" s="1404"/>
      <c r="AD588" s="1404"/>
      <c r="AE588" s="1404"/>
      <c r="AF588" s="1404"/>
      <c r="AG588" s="1404"/>
      <c r="AH588" s="1404"/>
      <c r="AI588" s="1404"/>
      <c r="AJ588" s="1404"/>
      <c r="AK588" s="1404"/>
      <c r="BB588" s="3"/>
      <c r="BC588" s="3"/>
    </row>
    <row r="589" spans="1:61" ht="12.95" customHeight="1">
      <c r="A589" s="22"/>
      <c r="B589" t="s">
        <v>316</v>
      </c>
      <c r="G589" s="1405">
        <v>9494381056</v>
      </c>
      <c r="H589" s="1405"/>
      <c r="I589" s="1405"/>
      <c r="J589" s="1405"/>
      <c r="K589" s="1405"/>
      <c r="L589" s="1405"/>
      <c r="O589" s="33" t="s">
        <v>206</v>
      </c>
      <c r="P589" s="1369"/>
      <c r="Q589" s="1369"/>
      <c r="R589" s="1369"/>
      <c r="T589" s="22"/>
      <c r="U589" t="s">
        <v>316</v>
      </c>
      <c r="Z589" s="1405">
        <f>H300</f>
        <v>8182717174</v>
      </c>
      <c r="AA589" s="1405"/>
      <c r="AB589" s="1405"/>
      <c r="AC589" s="1405"/>
      <c r="AD589" s="1405"/>
      <c r="AE589" s="1405"/>
      <c r="AH589" s="33" t="s">
        <v>206</v>
      </c>
      <c r="AI589" s="1369"/>
      <c r="AJ589" s="1369"/>
      <c r="AK589" s="1369"/>
      <c r="BB589" s="3"/>
      <c r="BC589" s="3"/>
    </row>
    <row r="590" spans="1:61" ht="12.95" customHeight="1">
      <c r="A590" s="22"/>
      <c r="B590" t="s">
        <v>18</v>
      </c>
      <c r="H590" s="1377" t="s">
        <v>2669</v>
      </c>
      <c r="I590" s="1377"/>
      <c r="J590" s="1377"/>
      <c r="K590" s="1377"/>
      <c r="L590" s="1377"/>
      <c r="M590" s="1377"/>
      <c r="N590" s="1377"/>
      <c r="O590" s="1377"/>
      <c r="P590" s="1377"/>
      <c r="Q590" s="1377"/>
      <c r="R590" s="1377"/>
      <c r="T590" s="22"/>
      <c r="U590" t="s">
        <v>18</v>
      </c>
      <c r="AA590" s="1377" t="s">
        <v>2059</v>
      </c>
      <c r="AB590" s="1377"/>
      <c r="AC590" s="1377"/>
      <c r="AD590" s="1377"/>
      <c r="AE590" s="1377"/>
      <c r="AF590" s="1377"/>
      <c r="AG590" s="1377"/>
      <c r="AH590" s="1377"/>
      <c r="AI590" s="1377"/>
      <c r="AJ590" s="1377"/>
      <c r="AK590" s="1377"/>
      <c r="BB590" s="3"/>
      <c r="BC590" s="3"/>
    </row>
    <row r="591" spans="1:61" ht="12.95" customHeight="1">
      <c r="A591" s="22"/>
      <c r="B591" t="s">
        <v>20</v>
      </c>
      <c r="N591" s="1269" t="s">
        <v>544</v>
      </c>
      <c r="O591" s="1269"/>
      <c r="T591" s="22"/>
      <c r="U591" t="s">
        <v>20</v>
      </c>
      <c r="AG591" s="1269" t="s">
        <v>544</v>
      </c>
      <c r="AH591" s="1269"/>
      <c r="BB591" s="3"/>
      <c r="BC591" s="3"/>
    </row>
    <row r="592" spans="1:61" ht="12.95" customHeight="1">
      <c r="A592" s="22"/>
      <c r="T592" s="22"/>
      <c r="BB592" s="3"/>
      <c r="BC592" s="3"/>
    </row>
    <row r="593" spans="1:55" ht="12.95" customHeight="1">
      <c r="A593" s="55" t="s">
        <v>762</v>
      </c>
      <c r="B593" t="s">
        <v>462</v>
      </c>
      <c r="G593" s="1376">
        <f>C566</f>
        <v>0</v>
      </c>
      <c r="H593" s="1376"/>
      <c r="I593" s="1376"/>
      <c r="J593" s="1376"/>
      <c r="K593" s="1376"/>
      <c r="L593" s="1376"/>
      <c r="M593" s="1376"/>
      <c r="N593" s="1376"/>
      <c r="O593" s="1376"/>
      <c r="P593" s="1376"/>
      <c r="Q593" s="1376"/>
      <c r="R593" s="1376"/>
      <c r="T593" s="55" t="s">
        <v>583</v>
      </c>
      <c r="U593" t="s">
        <v>462</v>
      </c>
      <c r="Z593" s="1376">
        <f>C567</f>
        <v>0</v>
      </c>
      <c r="AA593" s="1376"/>
      <c r="AB593" s="1376"/>
      <c r="AC593" s="1376"/>
      <c r="AD593" s="1376"/>
      <c r="AE593" s="1376"/>
      <c r="AF593" s="1376"/>
      <c r="AG593" s="1376"/>
      <c r="AH593" s="1376"/>
      <c r="AI593" s="1376"/>
      <c r="AJ593" s="1376"/>
      <c r="AK593" s="1376"/>
      <c r="BB593" s="3"/>
      <c r="BC593" s="3"/>
    </row>
    <row r="594" spans="1:55" ht="12.95" customHeight="1">
      <c r="A594" s="22"/>
      <c r="B594" t="s">
        <v>85</v>
      </c>
      <c r="G594" s="1377"/>
      <c r="H594" s="1377"/>
      <c r="I594" s="1377"/>
      <c r="J594" s="1377"/>
      <c r="K594" s="1377"/>
      <c r="L594" s="1377"/>
      <c r="M594" s="1377"/>
      <c r="N594" s="1377"/>
      <c r="O594" s="1377"/>
      <c r="P594" s="1377"/>
      <c r="Q594" s="1377"/>
      <c r="R594" s="1377"/>
      <c r="T594" s="22"/>
      <c r="U594" t="s">
        <v>85</v>
      </c>
      <c r="Z594" s="1377"/>
      <c r="AA594" s="1377"/>
      <c r="AB594" s="1377"/>
      <c r="AC594" s="1377"/>
      <c r="AD594" s="1377"/>
      <c r="AE594" s="1377"/>
      <c r="AF594" s="1377"/>
      <c r="AG594" s="1377"/>
      <c r="AH594" s="1377"/>
      <c r="AI594" s="1377"/>
      <c r="AJ594" s="1377"/>
      <c r="AK594" s="1377"/>
      <c r="BB594" s="3"/>
      <c r="BC594" s="3"/>
    </row>
    <row r="595" spans="1:55" ht="12.95" customHeight="1">
      <c r="A595" s="22"/>
      <c r="B595" t="s">
        <v>579</v>
      </c>
      <c r="G595" s="1377"/>
      <c r="H595" s="1377"/>
      <c r="I595" s="1377"/>
      <c r="J595" s="1377"/>
      <c r="K595" s="1377"/>
      <c r="L595" s="1377"/>
      <c r="M595" s="1377"/>
      <c r="N595" s="1377"/>
      <c r="O595" s="1377"/>
      <c r="P595" s="1377"/>
      <c r="Q595" s="1377"/>
      <c r="R595" s="1377"/>
      <c r="T595" s="22"/>
      <c r="U595" t="s">
        <v>579</v>
      </c>
      <c r="Z595" s="1404"/>
      <c r="AA595" s="1404"/>
      <c r="AB595" s="1404"/>
      <c r="AC595" s="1404"/>
      <c r="AD595" s="1404"/>
      <c r="AE595" s="1404"/>
      <c r="AF595" s="1404"/>
      <c r="AG595" s="1404"/>
      <c r="AH595" s="1404"/>
      <c r="AI595" s="1404"/>
      <c r="AJ595" s="1404"/>
      <c r="AK595" s="1404"/>
      <c r="BB595" s="3"/>
      <c r="BC595" s="3"/>
    </row>
    <row r="596" spans="1:55" ht="12.95" customHeight="1">
      <c r="A596" s="22"/>
      <c r="B596" t="s">
        <v>17</v>
      </c>
      <c r="G596" s="1377"/>
      <c r="H596" s="1377"/>
      <c r="I596" s="1377"/>
      <c r="J596" s="1377"/>
      <c r="K596" s="1377"/>
      <c r="L596" s="1377"/>
      <c r="M596" s="1377"/>
      <c r="N596" s="1377"/>
      <c r="O596" s="1377"/>
      <c r="P596" s="1377"/>
      <c r="Q596" s="1377"/>
      <c r="R596" s="1377"/>
      <c r="T596" s="22"/>
      <c r="U596" t="s">
        <v>17</v>
      </c>
      <c r="Z596" s="1404"/>
      <c r="AA596" s="1404"/>
      <c r="AB596" s="1404"/>
      <c r="AC596" s="1404"/>
      <c r="AD596" s="1404"/>
      <c r="AE596" s="1404"/>
      <c r="AF596" s="1404"/>
      <c r="AG596" s="1404"/>
      <c r="AH596" s="1404"/>
      <c r="AI596" s="1404"/>
      <c r="AJ596" s="1404"/>
      <c r="AK596" s="1404"/>
    </row>
    <row r="597" spans="1:55" ht="12.95" customHeight="1">
      <c r="A597" s="22"/>
      <c r="B597" t="s">
        <v>316</v>
      </c>
      <c r="G597" s="1405"/>
      <c r="H597" s="1405"/>
      <c r="I597" s="1405"/>
      <c r="J597" s="1405"/>
      <c r="K597" s="1405"/>
      <c r="L597" s="1405"/>
      <c r="O597" s="33" t="s">
        <v>206</v>
      </c>
      <c r="P597" s="1369"/>
      <c r="Q597" s="1369"/>
      <c r="R597" s="1369"/>
      <c r="T597" s="22"/>
      <c r="U597" t="s">
        <v>316</v>
      </c>
      <c r="Z597" s="1405"/>
      <c r="AA597" s="1405"/>
      <c r="AB597" s="1405"/>
      <c r="AC597" s="1405"/>
      <c r="AD597" s="1405"/>
      <c r="AE597" s="1405"/>
      <c r="AH597" s="33" t="s">
        <v>206</v>
      </c>
      <c r="AI597" s="1369"/>
      <c r="AJ597" s="1369"/>
      <c r="AK597" s="1369"/>
      <c r="AZ597" s="3"/>
      <c r="BA597" s="3"/>
      <c r="BB597" s="3"/>
      <c r="BC597" s="3"/>
    </row>
    <row r="598" spans="1:55" ht="12.95" customHeight="1">
      <c r="A598" s="22"/>
      <c r="B598" t="s">
        <v>18</v>
      </c>
      <c r="H598" s="1377"/>
      <c r="I598" s="1377"/>
      <c r="J598" s="1377"/>
      <c r="K598" s="1377"/>
      <c r="L598" s="1377"/>
      <c r="M598" s="1377"/>
      <c r="N598" s="1377"/>
      <c r="O598" s="1377"/>
      <c r="P598" s="1377"/>
      <c r="Q598" s="1377"/>
      <c r="R598" s="1377"/>
      <c r="T598" s="22"/>
      <c r="U598" t="s">
        <v>18</v>
      </c>
      <c r="AA598" s="1377"/>
      <c r="AB598" s="1377"/>
      <c r="AC598" s="1377"/>
      <c r="AD598" s="1377"/>
      <c r="AE598" s="1377"/>
      <c r="AF598" s="1377"/>
      <c r="AG598" s="1377"/>
      <c r="AH598" s="1377"/>
      <c r="AI598" s="1377"/>
      <c r="AJ598" s="1377"/>
      <c r="AK598" s="1377"/>
      <c r="AZ598" s="3"/>
      <c r="BA598" s="3"/>
      <c r="BB598" s="3"/>
      <c r="BC598" s="3"/>
    </row>
    <row r="599" spans="1:55" ht="12.95" customHeight="1">
      <c r="A599" s="22"/>
      <c r="B599" t="s">
        <v>20</v>
      </c>
      <c r="N599" s="1269" t="s">
        <v>668</v>
      </c>
      <c r="O599" s="1269"/>
      <c r="T599" s="22"/>
      <c r="U599" t="s">
        <v>20</v>
      </c>
      <c r="AG599" s="1269" t="s">
        <v>668</v>
      </c>
      <c r="AH599" s="1269"/>
      <c r="AZ599" s="3"/>
      <c r="BA599" s="3"/>
      <c r="BB599" s="3"/>
      <c r="BC599" s="3"/>
    </row>
    <row r="600" spans="1:55" ht="12.95" customHeight="1">
      <c r="A600" s="22"/>
      <c r="T600" s="22"/>
      <c r="AZ600" s="3"/>
      <c r="BA600" s="3"/>
      <c r="BB600" s="3"/>
      <c r="BC600" s="3"/>
    </row>
    <row r="601" spans="1:55" ht="12.95" customHeight="1">
      <c r="A601" s="55" t="s">
        <v>454</v>
      </c>
      <c r="B601" t="s">
        <v>462</v>
      </c>
      <c r="G601" s="1376">
        <f>C568</f>
        <v>0</v>
      </c>
      <c r="H601" s="1376"/>
      <c r="I601" s="1376"/>
      <c r="J601" s="1376"/>
      <c r="K601" s="1376"/>
      <c r="L601" s="1376"/>
      <c r="M601" s="1376"/>
      <c r="N601" s="1376"/>
      <c r="O601" s="1376"/>
      <c r="P601" s="1376"/>
      <c r="Q601" s="1376"/>
      <c r="R601" s="1376"/>
      <c r="T601" s="55" t="s">
        <v>455</v>
      </c>
      <c r="U601" t="s">
        <v>462</v>
      </c>
      <c r="Z601" s="1376">
        <f>C569</f>
        <v>0</v>
      </c>
      <c r="AA601" s="1376"/>
      <c r="AB601" s="1376"/>
      <c r="AC601" s="1376"/>
      <c r="AD601" s="1376"/>
      <c r="AE601" s="1376"/>
      <c r="AF601" s="1376"/>
      <c r="AG601" s="1376"/>
      <c r="AH601" s="1376"/>
      <c r="AI601" s="1376"/>
      <c r="AJ601" s="1376"/>
      <c r="AK601" s="1376"/>
      <c r="AZ601" s="3"/>
      <c r="BA601" s="3"/>
      <c r="BB601" s="3"/>
      <c r="BC601" s="3"/>
    </row>
    <row r="602" spans="1:55" s="4" customFormat="1" ht="12.95" customHeight="1">
      <c r="A602" s="22"/>
      <c r="B602" t="s">
        <v>85</v>
      </c>
      <c r="C602"/>
      <c r="D602"/>
      <c r="E602"/>
      <c r="F602"/>
      <c r="G602" s="1377"/>
      <c r="H602" s="1377"/>
      <c r="I602" s="1377"/>
      <c r="J602" s="1377"/>
      <c r="K602" s="1377"/>
      <c r="L602" s="1377"/>
      <c r="M602" s="1377"/>
      <c r="N602" s="1377"/>
      <c r="O602" s="1377"/>
      <c r="P602" s="1377"/>
      <c r="Q602" s="1377"/>
      <c r="R602" s="1377"/>
      <c r="S602"/>
      <c r="T602" s="22"/>
      <c r="U602" t="s">
        <v>85</v>
      </c>
      <c r="V602"/>
      <c r="W602"/>
      <c r="X602"/>
      <c r="Y602"/>
      <c r="Z602" s="1377"/>
      <c r="AA602" s="1377"/>
      <c r="AB602" s="1377"/>
      <c r="AC602" s="1377"/>
      <c r="AD602" s="1377"/>
      <c r="AE602" s="1377"/>
      <c r="AF602" s="1377"/>
      <c r="AG602" s="1377"/>
      <c r="AH602" s="1377"/>
      <c r="AI602" s="1377"/>
      <c r="AJ602" s="1377"/>
      <c r="AK602" s="1377"/>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377"/>
      <c r="H603" s="1377"/>
      <c r="I603" s="1377"/>
      <c r="J603" s="1377"/>
      <c r="K603" s="1377"/>
      <c r="L603" s="1377"/>
      <c r="M603" s="1377"/>
      <c r="N603" s="1377"/>
      <c r="O603" s="1377"/>
      <c r="P603" s="1377"/>
      <c r="Q603" s="1377"/>
      <c r="R603" s="1377"/>
      <c r="S603"/>
      <c r="T603" s="22"/>
      <c r="U603" t="s">
        <v>579</v>
      </c>
      <c r="V603"/>
      <c r="W603"/>
      <c r="X603"/>
      <c r="Y603"/>
      <c r="Z603" s="1404"/>
      <c r="AA603" s="1404"/>
      <c r="AB603" s="1404"/>
      <c r="AC603" s="1404"/>
      <c r="AD603" s="1404"/>
      <c r="AE603" s="1404"/>
      <c r="AF603" s="1404"/>
      <c r="AG603" s="1404"/>
      <c r="AH603" s="1404"/>
      <c r="AI603" s="1404"/>
      <c r="AJ603" s="1404"/>
      <c r="AK603" s="1404"/>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377"/>
      <c r="H604" s="1377"/>
      <c r="I604" s="1377"/>
      <c r="J604" s="1377"/>
      <c r="K604" s="1377"/>
      <c r="L604" s="1377"/>
      <c r="M604" s="1377"/>
      <c r="N604" s="1377"/>
      <c r="O604" s="1377"/>
      <c r="P604" s="1377"/>
      <c r="Q604" s="1377"/>
      <c r="R604" s="1377"/>
      <c r="S604"/>
      <c r="T604" s="22"/>
      <c r="U604" t="s">
        <v>17</v>
      </c>
      <c r="V604"/>
      <c r="W604"/>
      <c r="X604"/>
      <c r="Y604"/>
      <c r="Z604" s="1404"/>
      <c r="AA604" s="1404"/>
      <c r="AB604" s="1404"/>
      <c r="AC604" s="1404"/>
      <c r="AD604" s="1404"/>
      <c r="AE604" s="1404"/>
      <c r="AF604" s="1404"/>
      <c r="AG604" s="1404"/>
      <c r="AH604" s="1404"/>
      <c r="AI604" s="1404"/>
      <c r="AJ604" s="1404"/>
      <c r="AK604" s="1404"/>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405"/>
      <c r="H605" s="1405"/>
      <c r="I605" s="1405"/>
      <c r="J605" s="1405"/>
      <c r="K605" s="1405"/>
      <c r="L605" s="1405"/>
      <c r="M605"/>
      <c r="N605"/>
      <c r="O605" s="33" t="s">
        <v>206</v>
      </c>
      <c r="P605" s="1369"/>
      <c r="Q605" s="1369"/>
      <c r="R605" s="1369"/>
      <c r="S605"/>
      <c r="T605" s="22"/>
      <c r="U605" t="s">
        <v>316</v>
      </c>
      <c r="V605"/>
      <c r="W605"/>
      <c r="X605"/>
      <c r="Y605"/>
      <c r="Z605" s="1405"/>
      <c r="AA605" s="1405"/>
      <c r="AB605" s="1405"/>
      <c r="AC605" s="1405"/>
      <c r="AD605" s="1405"/>
      <c r="AE605" s="1405"/>
      <c r="AF605"/>
      <c r="AG605"/>
      <c r="AH605" s="33" t="s">
        <v>206</v>
      </c>
      <c r="AI605" s="1369"/>
      <c r="AJ605" s="1369"/>
      <c r="AK605" s="1369"/>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377"/>
      <c r="I606" s="1377"/>
      <c r="J606" s="1377"/>
      <c r="K606" s="1377"/>
      <c r="L606" s="1377"/>
      <c r="M606" s="1377"/>
      <c r="N606" s="1377"/>
      <c r="O606" s="1377"/>
      <c r="P606" s="1377"/>
      <c r="Q606" s="1377"/>
      <c r="R606" s="1377"/>
      <c r="S606"/>
      <c r="T606" s="22"/>
      <c r="U606" t="s">
        <v>18</v>
      </c>
      <c r="V606"/>
      <c r="W606"/>
      <c r="X606"/>
      <c r="Y606"/>
      <c r="Z606"/>
      <c r="AA606" s="1377"/>
      <c r="AB606" s="1377"/>
      <c r="AC606" s="1377"/>
      <c r="AD606" s="1377"/>
      <c r="AE606" s="1377"/>
      <c r="AF606" s="1377"/>
      <c r="AG606" s="1377"/>
      <c r="AH606" s="1377"/>
      <c r="AI606" s="1377"/>
      <c r="AJ606" s="1377"/>
      <c r="AK606" s="1377"/>
      <c r="AL606"/>
      <c r="AM606"/>
      <c r="AN606"/>
      <c r="AO606"/>
      <c r="AP606"/>
      <c r="AQ606"/>
      <c r="AR606"/>
      <c r="AS606"/>
      <c r="AT606"/>
      <c r="AU606"/>
      <c r="AV606"/>
      <c r="AW606"/>
      <c r="AX606"/>
      <c r="AY606"/>
      <c r="BB606" s="3"/>
      <c r="BC606" s="3"/>
    </row>
    <row r="607" spans="1:55" ht="12.95" customHeight="1">
      <c r="A607" s="22"/>
      <c r="B607" t="s">
        <v>20</v>
      </c>
      <c r="N607" s="1269" t="s">
        <v>668</v>
      </c>
      <c r="O607" s="1269"/>
      <c r="T607" s="22"/>
      <c r="U607" t="s">
        <v>20</v>
      </c>
      <c r="AG607" s="1269" t="s">
        <v>668</v>
      </c>
      <c r="AH607" s="1269"/>
      <c r="BB607" s="3"/>
      <c r="BC607" s="3"/>
    </row>
    <row r="608" spans="1:55" ht="12.95" customHeight="1">
      <c r="A608" s="22"/>
      <c r="T608" s="22"/>
      <c r="BB608" s="3"/>
      <c r="BC608" s="3"/>
    </row>
    <row r="609" spans="1:55" ht="12.95" customHeight="1">
      <c r="A609" s="55" t="s">
        <v>460</v>
      </c>
      <c r="B609" t="s">
        <v>462</v>
      </c>
      <c r="G609" s="1376">
        <f>C570</f>
        <v>0</v>
      </c>
      <c r="H609" s="1376"/>
      <c r="I609" s="1376"/>
      <c r="J609" s="1376"/>
      <c r="K609" s="1376"/>
      <c r="L609" s="1376"/>
      <c r="M609" s="1376"/>
      <c r="N609" s="1376"/>
      <c r="O609" s="1376"/>
      <c r="P609" s="1376"/>
      <c r="Q609" s="1376"/>
      <c r="R609" s="1376"/>
      <c r="T609" s="55" t="s">
        <v>645</v>
      </c>
      <c r="U609" t="s">
        <v>462</v>
      </c>
      <c r="Z609" s="1376">
        <f>C571</f>
        <v>0</v>
      </c>
      <c r="AA609" s="1376"/>
      <c r="AB609" s="1376"/>
      <c r="AC609" s="1376"/>
      <c r="AD609" s="1376"/>
      <c r="AE609" s="1376"/>
      <c r="AF609" s="1376"/>
      <c r="AG609" s="1376"/>
      <c r="AH609" s="1376"/>
      <c r="AI609" s="1376"/>
      <c r="AJ609" s="1376"/>
      <c r="AK609" s="1376"/>
      <c r="BB609" s="3"/>
      <c r="BC609" s="3"/>
    </row>
    <row r="610" spans="1:55" ht="12.95" customHeight="1">
      <c r="A610" s="22"/>
      <c r="B610" t="s">
        <v>85</v>
      </c>
      <c r="G610" s="1377"/>
      <c r="H610" s="1377"/>
      <c r="I610" s="1377"/>
      <c r="J610" s="1377"/>
      <c r="K610" s="1377"/>
      <c r="L610" s="1377"/>
      <c r="M610" s="1377"/>
      <c r="N610" s="1377"/>
      <c r="O610" s="1377"/>
      <c r="P610" s="1377"/>
      <c r="Q610" s="1377"/>
      <c r="R610" s="1377"/>
      <c r="T610" s="22"/>
      <c r="U610" t="s">
        <v>85</v>
      </c>
      <c r="Z610" s="1377"/>
      <c r="AA610" s="1377"/>
      <c r="AB610" s="1377"/>
      <c r="AC610" s="1377"/>
      <c r="AD610" s="1377"/>
      <c r="AE610" s="1377"/>
      <c r="AF610" s="1377"/>
      <c r="AG610" s="1377"/>
      <c r="AH610" s="1377"/>
      <c r="AI610" s="1377"/>
      <c r="AJ610" s="1377"/>
      <c r="AK610" s="1377"/>
      <c r="AZ610" s="3"/>
      <c r="BA610" s="3"/>
      <c r="BB610" s="3"/>
      <c r="BC610" s="3"/>
    </row>
    <row r="611" spans="1:55" ht="12.95" customHeight="1">
      <c r="A611" s="22"/>
      <c r="B611" t="s">
        <v>579</v>
      </c>
      <c r="G611" s="1377"/>
      <c r="H611" s="1377"/>
      <c r="I611" s="1377"/>
      <c r="J611" s="1377"/>
      <c r="K611" s="1377"/>
      <c r="L611" s="1377"/>
      <c r="M611" s="1377"/>
      <c r="N611" s="1377"/>
      <c r="O611" s="1377"/>
      <c r="P611" s="1377"/>
      <c r="Q611" s="1377"/>
      <c r="R611" s="1377"/>
      <c r="T611" s="22"/>
      <c r="U611" t="s">
        <v>579</v>
      </c>
      <c r="Z611" s="1404"/>
      <c r="AA611" s="1404"/>
      <c r="AB611" s="1404"/>
      <c r="AC611" s="1404"/>
      <c r="AD611" s="1404"/>
      <c r="AE611" s="1404"/>
      <c r="AF611" s="1404"/>
      <c r="AG611" s="1404"/>
      <c r="AH611" s="1404"/>
      <c r="AI611" s="1404"/>
      <c r="AJ611" s="1404"/>
      <c r="AK611" s="1404"/>
      <c r="AZ611" s="3"/>
      <c r="BA611" s="3"/>
      <c r="BB611" s="3"/>
      <c r="BC611" s="3"/>
    </row>
    <row r="612" spans="1:55" ht="12.95" customHeight="1">
      <c r="A612" s="22"/>
      <c r="B612" t="s">
        <v>17</v>
      </c>
      <c r="G612" s="1377"/>
      <c r="H612" s="1377"/>
      <c r="I612" s="1377"/>
      <c r="J612" s="1377"/>
      <c r="K612" s="1377"/>
      <c r="L612" s="1377"/>
      <c r="M612" s="1377"/>
      <c r="N612" s="1377"/>
      <c r="O612" s="1377"/>
      <c r="P612" s="1377"/>
      <c r="Q612" s="1377"/>
      <c r="R612" s="1377"/>
      <c r="T612" s="22"/>
      <c r="U612" t="s">
        <v>17</v>
      </c>
      <c r="Z612" s="1404"/>
      <c r="AA612" s="1404"/>
      <c r="AB612" s="1404"/>
      <c r="AC612" s="1404"/>
      <c r="AD612" s="1404"/>
      <c r="AE612" s="1404"/>
      <c r="AF612" s="1404"/>
      <c r="AG612" s="1404"/>
      <c r="AH612" s="1404"/>
      <c r="AI612" s="1404"/>
      <c r="AJ612" s="1404"/>
      <c r="AK612" s="1404"/>
      <c r="AZ612" s="3"/>
      <c r="BA612" s="3"/>
      <c r="BB612" s="3"/>
      <c r="BC612" s="3"/>
    </row>
    <row r="613" spans="1:55" s="4" customFormat="1" ht="12.95" customHeight="1">
      <c r="A613" s="22"/>
      <c r="B613" t="s">
        <v>316</v>
      </c>
      <c r="C613"/>
      <c r="D613"/>
      <c r="E613"/>
      <c r="F613"/>
      <c r="G613" s="1405"/>
      <c r="H613" s="1405"/>
      <c r="I613" s="1405"/>
      <c r="J613" s="1405"/>
      <c r="K613" s="1405"/>
      <c r="L613" s="1405"/>
      <c r="M613"/>
      <c r="N613"/>
      <c r="O613" s="33" t="s">
        <v>206</v>
      </c>
      <c r="P613" s="1369"/>
      <c r="Q613" s="1369"/>
      <c r="R613" s="1369"/>
      <c r="S613"/>
      <c r="T613" s="22"/>
      <c r="U613" t="s">
        <v>316</v>
      </c>
      <c r="V613"/>
      <c r="W613"/>
      <c r="X613"/>
      <c r="Y613"/>
      <c r="Z613" s="1405"/>
      <c r="AA613" s="1405"/>
      <c r="AB613" s="1405"/>
      <c r="AC613" s="1405"/>
      <c r="AD613" s="1405"/>
      <c r="AE613" s="1405"/>
      <c r="AF613"/>
      <c r="AG613"/>
      <c r="AH613" s="33" t="s">
        <v>206</v>
      </c>
      <c r="AI613" s="1369"/>
      <c r="AJ613" s="1369"/>
      <c r="AK613" s="1369"/>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377"/>
      <c r="I614" s="1377"/>
      <c r="J614" s="1377"/>
      <c r="K614" s="1377"/>
      <c r="L614" s="1377"/>
      <c r="M614" s="1377"/>
      <c r="N614" s="1377"/>
      <c r="O614" s="1377"/>
      <c r="P614" s="1377"/>
      <c r="Q614" s="1377"/>
      <c r="R614" s="1377"/>
      <c r="S614"/>
      <c r="T614" s="22"/>
      <c r="U614" t="s">
        <v>18</v>
      </c>
      <c r="V614"/>
      <c r="W614"/>
      <c r="X614"/>
      <c r="Y614"/>
      <c r="Z614"/>
      <c r="AA614" s="1377"/>
      <c r="AB614" s="1377"/>
      <c r="AC614" s="1377"/>
      <c r="AD614" s="1377"/>
      <c r="AE614" s="1377"/>
      <c r="AF614" s="1377"/>
      <c r="AG614" s="1377"/>
      <c r="AH614" s="1377"/>
      <c r="AI614" s="1377"/>
      <c r="AJ614" s="1377"/>
      <c r="AK614" s="1377"/>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269" t="s">
        <v>668</v>
      </c>
      <c r="O615" s="1269"/>
      <c r="P615"/>
      <c r="Q615"/>
      <c r="R615"/>
      <c r="S615"/>
      <c r="T615" s="22"/>
      <c r="U615" t="s">
        <v>20</v>
      </c>
      <c r="V615"/>
      <c r="W615"/>
      <c r="X615"/>
      <c r="Y615"/>
      <c r="Z615"/>
      <c r="AA615"/>
      <c r="AB615"/>
      <c r="AC615"/>
      <c r="AD615"/>
      <c r="AE615"/>
      <c r="AF615"/>
      <c r="AG615" s="1269" t="s">
        <v>668</v>
      </c>
      <c r="AH615" s="1269"/>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462</v>
      </c>
      <c r="G617" s="1376">
        <f>C572</f>
        <v>0</v>
      </c>
      <c r="H617" s="1376"/>
      <c r="I617" s="1376"/>
      <c r="J617" s="1376"/>
      <c r="K617" s="1376"/>
      <c r="L617" s="1376"/>
      <c r="M617" s="1376"/>
      <c r="N617" s="1376"/>
      <c r="O617" s="1376"/>
      <c r="P617" s="1376"/>
      <c r="Q617" s="1376"/>
      <c r="R617" s="1376"/>
      <c r="T617" s="55" t="s">
        <v>363</v>
      </c>
      <c r="U617" t="s">
        <v>462</v>
      </c>
      <c r="Z617" s="1376">
        <f>C573</f>
        <v>0</v>
      </c>
      <c r="AA617" s="1376"/>
      <c r="AB617" s="1376"/>
      <c r="AC617" s="1376"/>
      <c r="AD617" s="1376"/>
      <c r="AE617" s="1376"/>
      <c r="AF617" s="1376"/>
      <c r="AG617" s="1376"/>
      <c r="AH617" s="1376"/>
      <c r="AI617" s="1376"/>
      <c r="AJ617" s="1376"/>
      <c r="AK617" s="1376"/>
      <c r="AZ617" s="3"/>
      <c r="BA617" s="3"/>
      <c r="BB617" s="3"/>
      <c r="BC617" s="3"/>
    </row>
    <row r="618" spans="1:55" ht="12.95" customHeight="1">
      <c r="B618" t="s">
        <v>85</v>
      </c>
      <c r="G618" s="1377"/>
      <c r="H618" s="1377"/>
      <c r="I618" s="1377"/>
      <c r="J618" s="1377"/>
      <c r="K618" s="1377"/>
      <c r="L618" s="1377"/>
      <c r="M618" s="1377"/>
      <c r="N618" s="1377"/>
      <c r="O618" s="1377"/>
      <c r="P618" s="1377"/>
      <c r="Q618" s="1377"/>
      <c r="R618" s="1377"/>
      <c r="U618" t="s">
        <v>85</v>
      </c>
      <c r="Z618" s="1377"/>
      <c r="AA618" s="1377"/>
      <c r="AB618" s="1377"/>
      <c r="AC618" s="1377"/>
      <c r="AD618" s="1377"/>
      <c r="AE618" s="1377"/>
      <c r="AF618" s="1377"/>
      <c r="AG618" s="1377"/>
      <c r="AH618" s="1377"/>
      <c r="AI618" s="1377"/>
      <c r="AJ618" s="1377"/>
      <c r="AK618" s="1377"/>
      <c r="AZ618" s="3"/>
      <c r="BA618" s="3"/>
      <c r="BB618" s="3"/>
      <c r="BC618" s="3"/>
    </row>
    <row r="619" spans="1:55" ht="12.95" customHeight="1">
      <c r="B619" t="s">
        <v>579</v>
      </c>
      <c r="G619" s="1377"/>
      <c r="H619" s="1377"/>
      <c r="I619" s="1377"/>
      <c r="J619" s="1377"/>
      <c r="K619" s="1377"/>
      <c r="L619" s="1377"/>
      <c r="M619" s="1377"/>
      <c r="N619" s="1377"/>
      <c r="O619" s="1377"/>
      <c r="P619" s="1377"/>
      <c r="Q619" s="1377"/>
      <c r="R619" s="1377"/>
      <c r="U619" t="s">
        <v>579</v>
      </c>
      <c r="Z619" s="1404"/>
      <c r="AA619" s="1404"/>
      <c r="AB619" s="1404"/>
      <c r="AC619" s="1404"/>
      <c r="AD619" s="1404"/>
      <c r="AE619" s="1404"/>
      <c r="AF619" s="1404"/>
      <c r="AG619" s="1404"/>
      <c r="AH619" s="1404"/>
      <c r="AI619" s="1404"/>
      <c r="AJ619" s="1404"/>
      <c r="AK619" s="1404"/>
      <c r="AZ619" s="3"/>
      <c r="BA619" s="3"/>
      <c r="BB619" s="3"/>
      <c r="BC619" s="3"/>
    </row>
    <row r="620" spans="1:55" ht="12.95" customHeight="1">
      <c r="B620" t="s">
        <v>17</v>
      </c>
      <c r="G620" s="1377"/>
      <c r="H620" s="1377"/>
      <c r="I620" s="1377"/>
      <c r="J620" s="1377"/>
      <c r="K620" s="1377"/>
      <c r="L620" s="1377"/>
      <c r="M620" s="1377"/>
      <c r="N620" s="1377"/>
      <c r="O620" s="1377"/>
      <c r="P620" s="1377"/>
      <c r="Q620" s="1377"/>
      <c r="R620" s="1377"/>
      <c r="U620" t="s">
        <v>17</v>
      </c>
      <c r="Z620" s="1404"/>
      <c r="AA620" s="1404"/>
      <c r="AB620" s="1404"/>
      <c r="AC620" s="1404"/>
      <c r="AD620" s="1404"/>
      <c r="AE620" s="1404"/>
      <c r="AF620" s="1404"/>
      <c r="AG620" s="1404"/>
      <c r="AH620" s="1404"/>
      <c r="AI620" s="1404"/>
      <c r="AJ620" s="1404"/>
      <c r="AK620" s="1404"/>
      <c r="AZ620" s="3"/>
      <c r="BA620" s="3"/>
      <c r="BB620" s="3"/>
      <c r="BC620" s="3"/>
    </row>
    <row r="621" spans="1:55" ht="12.95" customHeight="1">
      <c r="B621" t="s">
        <v>316</v>
      </c>
      <c r="G621" s="1405"/>
      <c r="H621" s="1405"/>
      <c r="I621" s="1405"/>
      <c r="J621" s="1405"/>
      <c r="K621" s="1405"/>
      <c r="L621" s="1405"/>
      <c r="O621" s="33" t="s">
        <v>206</v>
      </c>
      <c r="P621" s="1369"/>
      <c r="Q621" s="1369"/>
      <c r="R621" s="1369"/>
      <c r="U621" t="s">
        <v>316</v>
      </c>
      <c r="Z621" s="1405"/>
      <c r="AA621" s="1405"/>
      <c r="AB621" s="1405"/>
      <c r="AC621" s="1405"/>
      <c r="AD621" s="1405"/>
      <c r="AE621" s="1405"/>
      <c r="AH621" s="33" t="s">
        <v>206</v>
      </c>
      <c r="AI621" s="1369"/>
      <c r="AJ621" s="1369"/>
      <c r="AK621" s="1369"/>
      <c r="AZ621" s="3"/>
      <c r="BA621" s="3"/>
      <c r="BB621" s="3"/>
      <c r="BC621" s="3"/>
    </row>
    <row r="622" spans="1:55" ht="12.95" customHeight="1">
      <c r="B622" t="s">
        <v>18</v>
      </c>
      <c r="H622" s="1377"/>
      <c r="I622" s="1377"/>
      <c r="J622" s="1377"/>
      <c r="K622" s="1377"/>
      <c r="L622" s="1377"/>
      <c r="M622" s="1377"/>
      <c r="N622" s="1377"/>
      <c r="O622" s="1377"/>
      <c r="P622" s="1377"/>
      <c r="Q622" s="1377"/>
      <c r="R622" s="1377"/>
      <c r="U622" t="s">
        <v>18</v>
      </c>
      <c r="AA622" s="1377"/>
      <c r="AB622" s="1377"/>
      <c r="AC622" s="1377"/>
      <c r="AD622" s="1377"/>
      <c r="AE622" s="1377"/>
      <c r="AF622" s="1377"/>
      <c r="AG622" s="1377"/>
      <c r="AH622" s="1377"/>
      <c r="AI622" s="1377"/>
      <c r="AJ622" s="1377"/>
      <c r="AK622" s="1377"/>
      <c r="AU622" s="895"/>
      <c r="AV622" s="895"/>
      <c r="AW622" s="895"/>
      <c r="AX622" s="895"/>
      <c r="AY622" s="895"/>
      <c r="AZ622" s="3"/>
      <c r="BA622" s="3"/>
      <c r="BB622" s="3"/>
      <c r="BC622" s="3"/>
    </row>
    <row r="623" spans="1:55" ht="12.95" customHeight="1">
      <c r="B623" t="s">
        <v>20</v>
      </c>
      <c r="N623" s="1269" t="s">
        <v>668</v>
      </c>
      <c r="O623" s="1269"/>
      <c r="U623" t="s">
        <v>20</v>
      </c>
      <c r="AG623" s="1269" t="s">
        <v>668</v>
      </c>
      <c r="AH623" s="1269"/>
      <c r="AU623" s="895"/>
      <c r="AV623" s="895"/>
      <c r="AW623" s="895"/>
      <c r="AX623" s="895"/>
      <c r="AY623" s="895"/>
      <c r="AZ623" s="3"/>
      <c r="BA623" s="3"/>
      <c r="BB623" s="3"/>
      <c r="BC623" s="3"/>
    </row>
    <row r="624" spans="1:55" ht="12.95" customHeight="1">
      <c r="AZ624" s="3"/>
      <c r="BA624" s="3"/>
      <c r="BB624" s="3"/>
      <c r="BC624" s="3"/>
    </row>
    <row r="625" spans="1:56" ht="12.95" customHeight="1">
      <c r="A625" s="1391" t="s">
        <v>543</v>
      </c>
      <c r="B625" s="1391"/>
      <c r="C625" s="1391"/>
      <c r="D625" s="1391"/>
      <c r="E625" s="1391"/>
      <c r="F625" s="1391"/>
      <c r="G625" s="1391"/>
      <c r="H625" s="1391"/>
      <c r="I625" s="1391"/>
      <c r="J625" s="1391"/>
      <c r="K625" s="1391"/>
      <c r="L625" s="1391"/>
      <c r="M625" s="1391"/>
      <c r="N625" s="1391"/>
      <c r="O625" s="1391"/>
      <c r="P625" s="1391"/>
      <c r="Q625" s="1391"/>
      <c r="R625" s="1391"/>
      <c r="S625" s="1391"/>
      <c r="T625" s="1391"/>
      <c r="U625" s="1391"/>
      <c r="V625" s="1391"/>
      <c r="W625" s="1391"/>
      <c r="X625" s="1391"/>
      <c r="Y625" s="1391"/>
      <c r="Z625" s="1391"/>
      <c r="AA625" s="1391"/>
      <c r="AB625" s="1391"/>
      <c r="AC625" s="1391"/>
      <c r="AD625" s="1391"/>
      <c r="AE625" s="1391"/>
      <c r="AF625" s="1391"/>
      <c r="AG625" s="1391"/>
      <c r="AH625" s="1391"/>
      <c r="AI625" s="1391"/>
      <c r="AJ625" s="1391"/>
      <c r="AK625" s="1391"/>
      <c r="AL625" s="1391"/>
      <c r="AM625" s="1391"/>
      <c r="AN625" s="1391"/>
      <c r="AO625" s="1391"/>
      <c r="AP625" s="1391"/>
      <c r="AQ625" s="1391"/>
      <c r="AR625" s="1391"/>
      <c r="AS625" s="1391"/>
      <c r="AT625" s="1391"/>
      <c r="AZ625" s="3"/>
      <c r="BA625" s="3"/>
      <c r="BB625" s="3"/>
      <c r="BC625" s="3"/>
    </row>
    <row r="626" spans="1:56" ht="12.95" customHeight="1">
      <c r="A626" s="1391"/>
      <c r="B626" s="1391"/>
      <c r="C626" s="1391"/>
      <c r="D626" s="1391"/>
      <c r="E626" s="1391"/>
      <c r="F626" s="1391"/>
      <c r="G626" s="1391"/>
      <c r="H626" s="1391"/>
      <c r="I626" s="1391"/>
      <c r="J626" s="1391"/>
      <c r="K626" s="1391"/>
      <c r="L626" s="1391"/>
      <c r="M626" s="1391"/>
      <c r="N626" s="1391"/>
      <c r="O626" s="1391"/>
      <c r="P626" s="1391"/>
      <c r="Q626" s="1391"/>
      <c r="R626" s="1391"/>
      <c r="S626" s="1391"/>
      <c r="T626" s="1391"/>
      <c r="U626" s="1391"/>
      <c r="V626" s="1391"/>
      <c r="W626" s="1391"/>
      <c r="X626" s="1391"/>
      <c r="Y626" s="1391"/>
      <c r="Z626" s="1391"/>
      <c r="AA626" s="1391"/>
      <c r="AB626" s="1391"/>
      <c r="AC626" s="1391"/>
      <c r="AD626" s="1391"/>
      <c r="AE626" s="1391"/>
      <c r="AF626" s="1391"/>
      <c r="AG626" s="1391"/>
      <c r="AH626" s="1391"/>
      <c r="AI626" s="1391"/>
      <c r="AJ626" s="1391"/>
      <c r="AK626" s="1391"/>
      <c r="AL626" s="1391"/>
      <c r="AM626" s="1391"/>
      <c r="AN626" s="1391"/>
      <c r="AO626" s="1391"/>
      <c r="AP626" s="1391"/>
      <c r="AQ626" s="1391"/>
      <c r="AR626" s="1391"/>
      <c r="AS626" s="1391"/>
      <c r="AT626" s="1391"/>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2054</v>
      </c>
      <c r="AZ630" s="3"/>
      <c r="BA630" s="3"/>
      <c r="BB630" s="3"/>
      <c r="BC630" s="3"/>
    </row>
    <row r="631" spans="1:56" ht="12.95" customHeight="1">
      <c r="B631" s="512"/>
      <c r="C631" s="2"/>
      <c r="AU631" s="3"/>
      <c r="AZ631" s="3"/>
      <c r="BA631" s="3"/>
      <c r="BB631" s="3"/>
      <c r="BC631" s="3"/>
    </row>
    <row r="632" spans="1:56" ht="12.95" customHeight="1">
      <c r="B632" s="1431" t="s">
        <v>2056</v>
      </c>
      <c r="C632" s="1431"/>
      <c r="D632" s="1431"/>
      <c r="E632" s="1431"/>
      <c r="F632" s="1431"/>
      <c r="G632" s="1431"/>
      <c r="H632" s="1431"/>
      <c r="I632" s="1431"/>
      <c r="J632" s="1431"/>
      <c r="K632" s="1431"/>
      <c r="L632" s="1431"/>
      <c r="M632" s="1435" t="s">
        <v>2057</v>
      </c>
      <c r="N632" s="1435"/>
      <c r="O632" s="1435"/>
      <c r="P632" s="1435"/>
      <c r="Q632" s="1435" t="s">
        <v>1827</v>
      </c>
      <c r="R632" s="1435"/>
      <c r="S632" s="1435"/>
      <c r="T632" s="1435" t="s">
        <v>1825</v>
      </c>
      <c r="U632" s="1435"/>
      <c r="V632" s="1435"/>
      <c r="W632" s="1649" t="s">
        <v>452</v>
      </c>
      <c r="X632" s="1649"/>
      <c r="Y632" s="1649"/>
      <c r="Z632" s="1631" t="s">
        <v>2086</v>
      </c>
      <c r="AA632" s="1631"/>
      <c r="AB632" s="1632"/>
      <c r="AC632" s="1621" t="s">
        <v>1664</v>
      </c>
      <c r="AD632" s="1622"/>
      <c r="AE632" s="1623"/>
      <c r="AF632" s="1630" t="s">
        <v>1902</v>
      </c>
      <c r="AG632" s="1631"/>
      <c r="AH632" s="1631"/>
      <c r="AI632" s="1631"/>
      <c r="AJ632" s="1632"/>
      <c r="AK632" s="1639" t="s">
        <v>1903</v>
      </c>
      <c r="AL632" s="1640"/>
      <c r="AM632" s="1640"/>
      <c r="AN632" s="1641"/>
      <c r="AO632" s="1435" t="s">
        <v>453</v>
      </c>
      <c r="AP632" s="1435"/>
      <c r="AQ632" s="1435"/>
      <c r="AR632" s="1435"/>
      <c r="AS632" s="1435"/>
      <c r="AU632" s="3"/>
      <c r="AZ632" s="3"/>
      <c r="BA632" s="3"/>
      <c r="BB632" s="3"/>
      <c r="BC632" s="3"/>
    </row>
    <row r="633" spans="1:56" ht="12.95" customHeight="1">
      <c r="B633" s="1431"/>
      <c r="C633" s="1431"/>
      <c r="D633" s="1431"/>
      <c r="E633" s="1431"/>
      <c r="F633" s="1431"/>
      <c r="G633" s="1431"/>
      <c r="H633" s="1431"/>
      <c r="I633" s="1431"/>
      <c r="J633" s="1431"/>
      <c r="K633" s="1431"/>
      <c r="L633" s="1431"/>
      <c r="M633" s="1435"/>
      <c r="N633" s="1435"/>
      <c r="O633" s="1435"/>
      <c r="P633" s="1435"/>
      <c r="Q633" s="1435"/>
      <c r="R633" s="1435"/>
      <c r="S633" s="1435"/>
      <c r="T633" s="1435"/>
      <c r="U633" s="1435"/>
      <c r="V633" s="1435"/>
      <c r="W633" s="1649"/>
      <c r="X633" s="1649"/>
      <c r="Y633" s="1649"/>
      <c r="Z633" s="1634"/>
      <c r="AA633" s="1634"/>
      <c r="AB633" s="1635"/>
      <c r="AC633" s="1624"/>
      <c r="AD633" s="1625"/>
      <c r="AE633" s="1626"/>
      <c r="AF633" s="1633"/>
      <c r="AG633" s="1634"/>
      <c r="AH633" s="1634"/>
      <c r="AI633" s="1634"/>
      <c r="AJ633" s="1635"/>
      <c r="AK633" s="1642"/>
      <c r="AL633" s="1643"/>
      <c r="AM633" s="1643"/>
      <c r="AN633" s="1644"/>
      <c r="AO633" s="1435"/>
      <c r="AP633" s="1435"/>
      <c r="AQ633" s="1435"/>
      <c r="AR633" s="1435"/>
      <c r="AS633" s="1435"/>
      <c r="AU633" s="3"/>
      <c r="AZ633" s="3"/>
      <c r="BA633" s="3"/>
      <c r="BB633" s="3"/>
      <c r="BC633" s="3"/>
      <c r="BD633" s="3"/>
    </row>
    <row r="634" spans="1:56" ht="12.95" customHeight="1">
      <c r="B634" s="1431"/>
      <c r="C634" s="1431"/>
      <c r="D634" s="1431"/>
      <c r="E634" s="1431"/>
      <c r="F634" s="1431"/>
      <c r="G634" s="1431"/>
      <c r="H634" s="1431"/>
      <c r="I634" s="1431"/>
      <c r="J634" s="1431"/>
      <c r="K634" s="1431"/>
      <c r="L634" s="1431"/>
      <c r="M634" s="1435"/>
      <c r="N634" s="1435"/>
      <c r="O634" s="1435"/>
      <c r="P634" s="1435"/>
      <c r="Q634" s="1435"/>
      <c r="R634" s="1435"/>
      <c r="S634" s="1435"/>
      <c r="T634" s="1435"/>
      <c r="U634" s="1435"/>
      <c r="V634" s="1435"/>
      <c r="W634" s="1649"/>
      <c r="X634" s="1649"/>
      <c r="Y634" s="1649"/>
      <c r="Z634" s="1637"/>
      <c r="AA634" s="1637"/>
      <c r="AB634" s="1638"/>
      <c r="AC634" s="1627"/>
      <c r="AD634" s="1628"/>
      <c r="AE634" s="1629"/>
      <c r="AF634" s="1636"/>
      <c r="AG634" s="1637"/>
      <c r="AH634" s="1637"/>
      <c r="AI634" s="1637"/>
      <c r="AJ634" s="1638"/>
      <c r="AK634" s="1645"/>
      <c r="AL634" s="1646"/>
      <c r="AM634" s="1646"/>
      <c r="AN634" s="1647"/>
      <c r="AO634" s="1435"/>
      <c r="AP634" s="1435"/>
      <c r="AQ634" s="1435"/>
      <c r="AR634" s="1435"/>
      <c r="AS634" s="1435"/>
      <c r="AT634" s="3"/>
      <c r="AU634" s="3"/>
      <c r="AZ634" s="3"/>
      <c r="BA634" s="3"/>
      <c r="BB634" s="3"/>
      <c r="BC634" s="3"/>
      <c r="BD634" s="3"/>
    </row>
    <row r="635" spans="1:56" ht="12.95" customHeight="1">
      <c r="B635" s="51" t="s">
        <v>112</v>
      </c>
      <c r="C635" s="1618" t="s">
        <v>2775</v>
      </c>
      <c r="D635" s="1618"/>
      <c r="E635" s="1618"/>
      <c r="F635" s="1618"/>
      <c r="G635" s="1618"/>
      <c r="H635" s="1618"/>
      <c r="I635" s="1618"/>
      <c r="J635" s="1618"/>
      <c r="K635" s="1618"/>
      <c r="L635" s="1618"/>
      <c r="M635" s="1452" t="s">
        <v>2073</v>
      </c>
      <c r="N635" s="1452"/>
      <c r="O635" s="1452"/>
      <c r="P635" s="1452"/>
      <c r="Q635" s="1436">
        <f>17*12</f>
        <v>204</v>
      </c>
      <c r="R635" s="1436"/>
      <c r="S635" s="1437"/>
      <c r="T635" s="1438">
        <f>40*12</f>
        <v>480</v>
      </c>
      <c r="U635" s="1436"/>
      <c r="V635" s="1437"/>
      <c r="W635" s="1409">
        <v>7.0099999999999996E-2</v>
      </c>
      <c r="X635" s="1410"/>
      <c r="Y635" s="1411"/>
      <c r="Z635" s="1439" t="s">
        <v>2085</v>
      </c>
      <c r="AA635" s="1440"/>
      <c r="AB635" s="1441"/>
      <c r="AC635" s="1465">
        <v>1</v>
      </c>
      <c r="AD635" s="1466"/>
      <c r="AE635" s="1467"/>
      <c r="AF635" s="1453">
        <f>-PMT(W635/12,T635,AO635)*12</f>
        <v>1176490.9828162501</v>
      </c>
      <c r="AG635" s="1454"/>
      <c r="AH635" s="1454"/>
      <c r="AI635" s="1454"/>
      <c r="AJ635" s="1455"/>
      <c r="AK635" s="1415">
        <v>0</v>
      </c>
      <c r="AL635" s="1416"/>
      <c r="AM635" s="1416"/>
      <c r="AN635" s="1417"/>
      <c r="AO635" s="1284">
        <f>AM562</f>
        <v>15758208</v>
      </c>
      <c r="AP635" s="1284"/>
      <c r="AQ635" s="1284"/>
      <c r="AR635" s="1284"/>
      <c r="AS635" s="1284"/>
      <c r="AT635" s="3"/>
      <c r="AU635" s="3"/>
      <c r="AZ635" s="3"/>
      <c r="BA635" s="3"/>
      <c r="BB635" s="3"/>
      <c r="BC635" s="3"/>
      <c r="BD635" s="3"/>
    </row>
    <row r="636" spans="1:56" ht="12.95" customHeight="1">
      <c r="B636" s="52" t="s">
        <v>113</v>
      </c>
      <c r="C636" s="1618" t="s">
        <v>2775</v>
      </c>
      <c r="D636" s="1618"/>
      <c r="E636" s="1618"/>
      <c r="F636" s="1618"/>
      <c r="G636" s="1618"/>
      <c r="H636" s="1618"/>
      <c r="I636" s="1618"/>
      <c r="J636" s="1618"/>
      <c r="K636" s="1618"/>
      <c r="L636" s="1618"/>
      <c r="M636" s="1452" t="s">
        <v>2072</v>
      </c>
      <c r="N636" s="1452"/>
      <c r="O636" s="1452"/>
      <c r="P636" s="1452"/>
      <c r="Q636" s="1438">
        <f>17*12</f>
        <v>204</v>
      </c>
      <c r="R636" s="1436"/>
      <c r="S636" s="1437"/>
      <c r="T636" s="1438">
        <f>40*12</f>
        <v>480</v>
      </c>
      <c r="U636" s="1436"/>
      <c r="V636" s="1437"/>
      <c r="W636" s="1409">
        <v>7.0099999999999996E-2</v>
      </c>
      <c r="X636" s="1410"/>
      <c r="Y636" s="1411"/>
      <c r="Z636" s="1439" t="s">
        <v>2085</v>
      </c>
      <c r="AA636" s="1440"/>
      <c r="AB636" s="1441"/>
      <c r="AC636" s="1465">
        <v>2</v>
      </c>
      <c r="AD636" s="1466"/>
      <c r="AE636" s="1467"/>
      <c r="AF636" s="1453">
        <f>-PMT(W636/12,T636,AO636)*12</f>
        <v>1093978.5282096949</v>
      </c>
      <c r="AG636" s="1454"/>
      <c r="AH636" s="1454"/>
      <c r="AI636" s="1454"/>
      <c r="AJ636" s="1455"/>
      <c r="AK636" s="1415">
        <v>0</v>
      </c>
      <c r="AL636" s="1416"/>
      <c r="AM636" s="1416"/>
      <c r="AN636" s="1417"/>
      <c r="AO636" s="1432">
        <f>30410161-AO635+1063</f>
        <v>14653016</v>
      </c>
      <c r="AP636" s="1433"/>
      <c r="AQ636" s="1433"/>
      <c r="AR636" s="1433"/>
      <c r="AS636" s="1434"/>
      <c r="AT636" s="1142" t="str">
        <f>IF(AND(NOT(C635=""),C636="",NOT(C637="")),"!","")</f>
        <v/>
      </c>
      <c r="AU636" s="3"/>
      <c r="AZ636" s="3"/>
      <c r="BA636" s="3"/>
      <c r="BB636" s="3"/>
      <c r="BC636" s="3"/>
      <c r="BD636" s="3"/>
    </row>
    <row r="637" spans="1:56" ht="12.95" customHeight="1">
      <c r="B637" s="52" t="s">
        <v>119</v>
      </c>
      <c r="C637" s="1618" t="s">
        <v>2761</v>
      </c>
      <c r="D637" s="1618"/>
      <c r="E637" s="1618"/>
      <c r="F637" s="1618"/>
      <c r="G637" s="1618"/>
      <c r="H637" s="1618"/>
      <c r="I637" s="1618"/>
      <c r="J637" s="1618"/>
      <c r="K637" s="1618"/>
      <c r="L637" s="1618"/>
      <c r="M637" s="1452" t="s">
        <v>2069</v>
      </c>
      <c r="N637" s="1452"/>
      <c r="O637" s="1452"/>
      <c r="P637" s="1452"/>
      <c r="Q637" s="1438">
        <f>12*55</f>
        <v>660</v>
      </c>
      <c r="R637" s="1436"/>
      <c r="S637" s="1437"/>
      <c r="T637" s="1438"/>
      <c r="U637" s="1436"/>
      <c r="V637" s="1437"/>
      <c r="W637" s="1409">
        <v>0.03</v>
      </c>
      <c r="X637" s="1410"/>
      <c r="Y637" s="1411"/>
      <c r="Z637" s="1439" t="s">
        <v>456</v>
      </c>
      <c r="AA637" s="1440"/>
      <c r="AB637" s="1441"/>
      <c r="AC637" s="1465">
        <v>3</v>
      </c>
      <c r="AD637" s="1466"/>
      <c r="AE637" s="1467"/>
      <c r="AF637" s="1453">
        <v>0</v>
      </c>
      <c r="AG637" s="1454"/>
      <c r="AH637" s="1454"/>
      <c r="AI637" s="1454"/>
      <c r="AJ637" s="1455"/>
      <c r="AK637" s="1415">
        <v>0</v>
      </c>
      <c r="AL637" s="1416"/>
      <c r="AM637" s="1416"/>
      <c r="AN637" s="1417"/>
      <c r="AO637" s="1432">
        <v>6000000</v>
      </c>
      <c r="AP637" s="1433"/>
      <c r="AQ637" s="1433"/>
      <c r="AR637" s="1433"/>
      <c r="AS637" s="1434"/>
      <c r="AT637" s="1142" t="str">
        <f>IF(AND(NOT(C636=""),C637="",NOT(C638="")),"!","")</f>
        <v/>
      </c>
      <c r="AU637" s="3"/>
      <c r="AZ637" s="3"/>
      <c r="BA637" s="3"/>
      <c r="BB637" s="3"/>
      <c r="BC637" s="3"/>
      <c r="BD637" s="3"/>
    </row>
    <row r="638" spans="1:56" ht="12.95" customHeight="1">
      <c r="B638" s="52" t="s">
        <v>580</v>
      </c>
      <c r="C638" s="1618" t="s">
        <v>2753</v>
      </c>
      <c r="D638" s="1451"/>
      <c r="E638" s="1451"/>
      <c r="F638" s="1451"/>
      <c r="G638" s="1451"/>
      <c r="H638" s="1451"/>
      <c r="I638" s="1451"/>
      <c r="J638" s="1451"/>
      <c r="K638" s="1451"/>
      <c r="L638" s="1619"/>
      <c r="M638" s="1452" t="s">
        <v>2060</v>
      </c>
      <c r="N638" s="1452"/>
      <c r="O638" s="1452"/>
      <c r="P638" s="1452"/>
      <c r="Q638" s="1438"/>
      <c r="R638" s="1436"/>
      <c r="S638" s="1437"/>
      <c r="T638" s="1438"/>
      <c r="U638" s="1436"/>
      <c r="V638" s="1437"/>
      <c r="W638" s="1409"/>
      <c r="X638" s="1410"/>
      <c r="Y638" s="1411"/>
      <c r="Z638" s="1439" t="s">
        <v>457</v>
      </c>
      <c r="AA638" s="1440"/>
      <c r="AB638" s="1441"/>
      <c r="AC638" s="1465"/>
      <c r="AD638" s="1466"/>
      <c r="AE638" s="1467"/>
      <c r="AF638" s="1453">
        <v>0</v>
      </c>
      <c r="AG638" s="1454"/>
      <c r="AH638" s="1454"/>
      <c r="AI638" s="1454"/>
      <c r="AJ638" s="1455"/>
      <c r="AK638" s="1415">
        <v>0</v>
      </c>
      <c r="AL638" s="1416"/>
      <c r="AM638" s="1416"/>
      <c r="AN638" s="1417"/>
      <c r="AO638" s="1432">
        <f>3892748+2-1063</f>
        <v>3891687</v>
      </c>
      <c r="AP638" s="1433"/>
      <c r="AQ638" s="1433"/>
      <c r="AR638" s="1433"/>
      <c r="AS638" s="1434"/>
      <c r="AT638" s="1142" t="str">
        <f>IF(AND(NOT(C637=""),C638="",NOT(C639="")),"!","")</f>
        <v/>
      </c>
      <c r="AU638" s="3"/>
      <c r="AZ638" s="3"/>
      <c r="BA638" s="3"/>
      <c r="BB638" s="3"/>
      <c r="BC638" s="3"/>
      <c r="BD638" s="3"/>
    </row>
    <row r="639" spans="1:56" ht="12.95" customHeight="1">
      <c r="B639" s="52" t="s">
        <v>762</v>
      </c>
      <c r="C639" s="1451"/>
      <c r="D639" s="1451"/>
      <c r="E639" s="1451"/>
      <c r="F639" s="1451"/>
      <c r="G639" s="1451"/>
      <c r="H639" s="1451"/>
      <c r="I639" s="1451"/>
      <c r="J639" s="1451"/>
      <c r="K639" s="1451"/>
      <c r="L639" s="1451"/>
      <c r="M639" s="1452" t="s">
        <v>1183</v>
      </c>
      <c r="N639" s="1452"/>
      <c r="O639" s="1452"/>
      <c r="P639" s="1452"/>
      <c r="Q639" s="1438"/>
      <c r="R639" s="1436"/>
      <c r="S639" s="1437"/>
      <c r="T639" s="1438"/>
      <c r="U639" s="1436"/>
      <c r="V639" s="1437"/>
      <c r="W639" s="1409"/>
      <c r="X639" s="1410"/>
      <c r="Y639" s="1411"/>
      <c r="Z639" s="1439" t="s">
        <v>1183</v>
      </c>
      <c r="AA639" s="1440"/>
      <c r="AB639" s="1441"/>
      <c r="AC639" s="1465"/>
      <c r="AD639" s="1466"/>
      <c r="AE639" s="1467"/>
      <c r="AF639" s="1453"/>
      <c r="AG639" s="1454"/>
      <c r="AH639" s="1454"/>
      <c r="AI639" s="1454"/>
      <c r="AJ639" s="1455"/>
      <c r="AK639" s="1415"/>
      <c r="AL639" s="1416"/>
      <c r="AM639" s="1416"/>
      <c r="AN639" s="1417"/>
      <c r="AO639" s="1432"/>
      <c r="AP639" s="1433"/>
      <c r="AQ639" s="1433"/>
      <c r="AR639" s="1433"/>
      <c r="AS639" s="1434"/>
      <c r="AT639" s="1142" t="str">
        <f>IF(AND(NOT(C638=""),C639="",NOT(C640="")),"!","")</f>
        <v/>
      </c>
      <c r="AU639" s="3"/>
      <c r="AZ639" s="3"/>
      <c r="BA639" s="3"/>
      <c r="BB639" s="3"/>
      <c r="BC639" s="3"/>
      <c r="BD639" s="3"/>
    </row>
    <row r="640" spans="1:56" ht="12.95" customHeight="1">
      <c r="B640" s="52" t="s">
        <v>583</v>
      </c>
      <c r="C640" s="1451"/>
      <c r="D640" s="1451"/>
      <c r="E640" s="1451"/>
      <c r="F640" s="1451"/>
      <c r="G640" s="1451"/>
      <c r="H640" s="1451"/>
      <c r="I640" s="1451"/>
      <c r="J640" s="1451"/>
      <c r="K640" s="1451"/>
      <c r="L640" s="1451"/>
      <c r="M640" s="1452" t="s">
        <v>1183</v>
      </c>
      <c r="N640" s="1452"/>
      <c r="O640" s="1452"/>
      <c r="P640" s="1452"/>
      <c r="Q640" s="1438"/>
      <c r="R640" s="1436"/>
      <c r="S640" s="1437"/>
      <c r="T640" s="1438"/>
      <c r="U640" s="1436"/>
      <c r="V640" s="1437"/>
      <c r="W640" s="1409"/>
      <c r="X640" s="1410"/>
      <c r="Y640" s="1411"/>
      <c r="Z640" s="1439" t="s">
        <v>1183</v>
      </c>
      <c r="AA640" s="1440"/>
      <c r="AB640" s="1441"/>
      <c r="AC640" s="1465"/>
      <c r="AD640" s="1466"/>
      <c r="AE640" s="1467"/>
      <c r="AF640" s="1453"/>
      <c r="AG640" s="1454"/>
      <c r="AH640" s="1454"/>
      <c r="AI640" s="1454"/>
      <c r="AJ640" s="1455"/>
      <c r="AK640" s="1415"/>
      <c r="AL640" s="1416"/>
      <c r="AM640" s="1416"/>
      <c r="AN640" s="1417"/>
      <c r="AO640" s="1432"/>
      <c r="AP640" s="1433"/>
      <c r="AQ640" s="1433"/>
      <c r="AR640" s="1433"/>
      <c r="AS640" s="1434"/>
      <c r="AT640" s="1142" t="str">
        <f t="shared" ref="AT640:AT646" si="3">IF(AND(NOT(C639=""),C640="",NOT(C641="")),"!","")</f>
        <v/>
      </c>
      <c r="AU640" s="3"/>
      <c r="AZ640" s="3"/>
      <c r="BA640" s="3"/>
      <c r="BB640" s="3"/>
      <c r="BC640" s="3"/>
      <c r="BD640" s="3"/>
    </row>
    <row r="641" spans="1:157" ht="12.95" customHeight="1">
      <c r="B641" s="52" t="s">
        <v>454</v>
      </c>
      <c r="C641" s="1451"/>
      <c r="D641" s="1451"/>
      <c r="E641" s="1451"/>
      <c r="F641" s="1451"/>
      <c r="G641" s="1451"/>
      <c r="H641" s="1451"/>
      <c r="I641" s="1451"/>
      <c r="J641" s="1451"/>
      <c r="K641" s="1451"/>
      <c r="L641" s="1451"/>
      <c r="M641" s="1452" t="s">
        <v>1183</v>
      </c>
      <c r="N641" s="1452"/>
      <c r="O641" s="1452"/>
      <c r="P641" s="1452"/>
      <c r="Q641" s="1438"/>
      <c r="R641" s="1436"/>
      <c r="S641" s="1437"/>
      <c r="T641" s="1438"/>
      <c r="U641" s="1436"/>
      <c r="V641" s="1437"/>
      <c r="W641" s="1409"/>
      <c r="X641" s="1410"/>
      <c r="Y641" s="1411"/>
      <c r="Z641" s="1439" t="s">
        <v>1183</v>
      </c>
      <c r="AA641" s="1440"/>
      <c r="AB641" s="1441"/>
      <c r="AC641" s="1465"/>
      <c r="AD641" s="1466"/>
      <c r="AE641" s="1467"/>
      <c r="AF641" s="1453"/>
      <c r="AG641" s="1454"/>
      <c r="AH641" s="1454"/>
      <c r="AI641" s="1454"/>
      <c r="AJ641" s="1455"/>
      <c r="AK641" s="1415"/>
      <c r="AL641" s="1416"/>
      <c r="AM641" s="1416"/>
      <c r="AN641" s="1417"/>
      <c r="AO641" s="1432"/>
      <c r="AP641" s="1433"/>
      <c r="AQ641" s="1433"/>
      <c r="AR641" s="1433"/>
      <c r="AS641" s="1434"/>
      <c r="AT641" s="1142" t="str">
        <f t="shared" si="3"/>
        <v/>
      </c>
      <c r="AU641" s="3"/>
      <c r="AV641" s="3"/>
      <c r="AW641" s="3"/>
      <c r="AX641" s="3"/>
      <c r="AY641" s="3"/>
      <c r="AZ641" s="3"/>
      <c r="BA641" s="3"/>
      <c r="BB641" s="3"/>
      <c r="BC641" s="3"/>
      <c r="BD641" s="3"/>
    </row>
    <row r="642" spans="1:157" ht="12.95" customHeight="1">
      <c r="B642" s="52" t="s">
        <v>455</v>
      </c>
      <c r="C642" s="1451"/>
      <c r="D642" s="1451"/>
      <c r="E642" s="1451"/>
      <c r="F642" s="1451"/>
      <c r="G642" s="1451"/>
      <c r="H642" s="1451"/>
      <c r="I642" s="1451"/>
      <c r="J642" s="1451"/>
      <c r="K642" s="1451"/>
      <c r="L642" s="1451"/>
      <c r="M642" s="1452" t="s">
        <v>1183</v>
      </c>
      <c r="N642" s="1452"/>
      <c r="O642" s="1452"/>
      <c r="P642" s="1452"/>
      <c r="Q642" s="1438"/>
      <c r="R642" s="1436"/>
      <c r="S642" s="1437"/>
      <c r="T642" s="1438"/>
      <c r="U642" s="1436"/>
      <c r="V642" s="1437"/>
      <c r="W642" s="1409"/>
      <c r="X642" s="1410"/>
      <c r="Y642" s="1411"/>
      <c r="Z642" s="1439" t="s">
        <v>1183</v>
      </c>
      <c r="AA642" s="1440"/>
      <c r="AB642" s="1441"/>
      <c r="AC642" s="1465"/>
      <c r="AD642" s="1466"/>
      <c r="AE642" s="1467"/>
      <c r="AF642" s="1453"/>
      <c r="AG642" s="1454"/>
      <c r="AH642" s="1454"/>
      <c r="AI642" s="1454"/>
      <c r="AJ642" s="1455"/>
      <c r="AK642" s="1415"/>
      <c r="AL642" s="1416"/>
      <c r="AM642" s="1416"/>
      <c r="AN642" s="1417"/>
      <c r="AO642" s="1432"/>
      <c r="AP642" s="1433"/>
      <c r="AQ642" s="1433"/>
      <c r="AR642" s="1433"/>
      <c r="AS642" s="1434"/>
      <c r="AT642" s="1142" t="str">
        <f t="shared" si="3"/>
        <v/>
      </c>
      <c r="AU642" s="3"/>
      <c r="AV642" s="3"/>
      <c r="AW642" s="3"/>
      <c r="AX642" s="3"/>
      <c r="AY642" s="3"/>
      <c r="AZ642" s="3"/>
      <c r="BA642" s="3" t="s">
        <v>1183</v>
      </c>
      <c r="BB642" s="3"/>
      <c r="BC642" s="3"/>
      <c r="BD642" s="3"/>
    </row>
    <row r="643" spans="1:157" ht="12.95" customHeight="1">
      <c r="B643" s="52" t="s">
        <v>460</v>
      </c>
      <c r="C643" s="1451"/>
      <c r="D643" s="1451"/>
      <c r="E643" s="1451"/>
      <c r="F643" s="1451"/>
      <c r="G643" s="1451"/>
      <c r="H643" s="1451"/>
      <c r="I643" s="1451"/>
      <c r="J643" s="1451"/>
      <c r="K643" s="1451"/>
      <c r="L643" s="1451"/>
      <c r="M643" s="1452" t="s">
        <v>1183</v>
      </c>
      <c r="N643" s="1452"/>
      <c r="O643" s="1452"/>
      <c r="P643" s="1452"/>
      <c r="Q643" s="1438"/>
      <c r="R643" s="1436"/>
      <c r="S643" s="1437"/>
      <c r="T643" s="1438"/>
      <c r="U643" s="1436"/>
      <c r="V643" s="1437"/>
      <c r="W643" s="1409"/>
      <c r="X643" s="1410"/>
      <c r="Y643" s="1411"/>
      <c r="Z643" s="1439" t="s">
        <v>1183</v>
      </c>
      <c r="AA643" s="1440"/>
      <c r="AB643" s="1441"/>
      <c r="AC643" s="1465"/>
      <c r="AD643" s="1466"/>
      <c r="AE643" s="1467"/>
      <c r="AF643" s="1453"/>
      <c r="AG643" s="1454"/>
      <c r="AH643" s="1454"/>
      <c r="AI643" s="1454"/>
      <c r="AJ643" s="1455"/>
      <c r="AK643" s="1415"/>
      <c r="AL643" s="1416"/>
      <c r="AM643" s="1416"/>
      <c r="AN643" s="1417"/>
      <c r="AO643" s="1432"/>
      <c r="AP643" s="1433"/>
      <c r="AQ643" s="1433"/>
      <c r="AR643" s="1433"/>
      <c r="AS643" s="1434"/>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447">
        <f t="shared" ref="DX643:DX677" si="4">EZ726*(CP726/$CP$761)</f>
        <v>190</v>
      </c>
      <c r="DY643" s="1447"/>
      <c r="DZ643" s="1447"/>
      <c r="EA643" s="1447"/>
      <c r="EB643" s="1447"/>
      <c r="EC643" s="1447" t="e">
        <f t="shared" ref="EC643:EC677" si="5">FE726*(CU726/$CU$761)</f>
        <v>#VALUE!</v>
      </c>
      <c r="ED643" s="1447"/>
      <c r="EE643" s="1447"/>
      <c r="EF643" s="1447"/>
      <c r="EG643" s="1447"/>
      <c r="EH643" s="1447" t="e">
        <f t="shared" ref="EH643:EH677" si="6">FJ726*(CZ726/$CZ$761)</f>
        <v>#VALUE!</v>
      </c>
      <c r="EI643" s="1447"/>
      <c r="EJ643" s="1447"/>
      <c r="EK643" s="1447"/>
      <c r="EL643" s="1447"/>
      <c r="EM643" s="1447" t="e">
        <f t="shared" ref="EM643:EM677" si="7">FO726*(DE726/$DE$761)</f>
        <v>#VALUE!</v>
      </c>
      <c r="EN643" s="1447"/>
      <c r="EO643" s="1447"/>
      <c r="EP643" s="1447"/>
      <c r="EQ643" s="1447"/>
      <c r="ER643" s="1447" t="e">
        <f t="shared" ref="ER643:ER677" si="8">FT726*(DJ726/$DJ$761)</f>
        <v>#VALUE!</v>
      </c>
      <c r="ES643" s="1447"/>
      <c r="ET643" s="1447"/>
      <c r="EU643" s="1447"/>
      <c r="EV643" s="1447"/>
      <c r="EW643" s="1447" t="e">
        <f t="shared" ref="EW643:EW677" si="9">FY726*(DO726/$DO$761)</f>
        <v>#VALUE!</v>
      </c>
      <c r="EX643" s="1447"/>
      <c r="EY643" s="1447"/>
      <c r="EZ643" s="1447"/>
      <c r="FA643" s="1447"/>
    </row>
    <row r="644" spans="1:157" ht="12.95" customHeight="1">
      <c r="B644" s="52" t="s">
        <v>645</v>
      </c>
      <c r="C644" s="1451"/>
      <c r="D644" s="1451"/>
      <c r="E644" s="1451"/>
      <c r="F644" s="1451"/>
      <c r="G644" s="1451"/>
      <c r="H644" s="1451"/>
      <c r="I644" s="1451"/>
      <c r="J644" s="1451"/>
      <c r="K644" s="1451"/>
      <c r="L644" s="1451"/>
      <c r="M644" s="1452" t="s">
        <v>1183</v>
      </c>
      <c r="N644" s="1452"/>
      <c r="O644" s="1452"/>
      <c r="P644" s="1452"/>
      <c r="Q644" s="1438"/>
      <c r="R644" s="1436"/>
      <c r="S644" s="1437"/>
      <c r="T644" s="1438"/>
      <c r="U644" s="1436"/>
      <c r="V644" s="1437"/>
      <c r="W644" s="1409"/>
      <c r="X644" s="1410"/>
      <c r="Y644" s="1411"/>
      <c r="Z644" s="1439" t="s">
        <v>1183</v>
      </c>
      <c r="AA644" s="1440"/>
      <c r="AB644" s="1441"/>
      <c r="AC644" s="1465"/>
      <c r="AD644" s="1466"/>
      <c r="AE644" s="1467"/>
      <c r="AF644" s="1453"/>
      <c r="AG644" s="1454"/>
      <c r="AH644" s="1454"/>
      <c r="AI644" s="1454"/>
      <c r="AJ644" s="1455"/>
      <c r="AK644" s="1415"/>
      <c r="AL644" s="1416"/>
      <c r="AM644" s="1416"/>
      <c r="AN644" s="1417"/>
      <c r="AO644" s="1432"/>
      <c r="AP644" s="1433"/>
      <c r="AQ644" s="1433"/>
      <c r="AR644" s="1433"/>
      <c r="AS644" s="1434"/>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447">
        <f t="shared" si="4"/>
        <v>322.5</v>
      </c>
      <c r="DY644" s="1447"/>
      <c r="DZ644" s="1447"/>
      <c r="EA644" s="1447"/>
      <c r="EB644" s="1447"/>
      <c r="EC644" s="1447" t="e">
        <f t="shared" si="5"/>
        <v>#VALUE!</v>
      </c>
      <c r="ED644" s="1447"/>
      <c r="EE644" s="1447"/>
      <c r="EF644" s="1447"/>
      <c r="EG644" s="1447"/>
      <c r="EH644" s="1447" t="e">
        <f t="shared" si="6"/>
        <v>#VALUE!</v>
      </c>
      <c r="EI644" s="1447"/>
      <c r="EJ644" s="1447"/>
      <c r="EK644" s="1447"/>
      <c r="EL644" s="1447"/>
      <c r="EM644" s="1447" t="e">
        <f t="shared" si="7"/>
        <v>#VALUE!</v>
      </c>
      <c r="EN644" s="1447"/>
      <c r="EO644" s="1447"/>
      <c r="EP644" s="1447"/>
      <c r="EQ644" s="1447"/>
      <c r="ER644" s="1447" t="e">
        <f t="shared" si="8"/>
        <v>#VALUE!</v>
      </c>
      <c r="ES644" s="1447"/>
      <c r="ET644" s="1447"/>
      <c r="EU644" s="1447"/>
      <c r="EV644" s="1447"/>
      <c r="EW644" s="1447" t="e">
        <f t="shared" si="9"/>
        <v>#VALUE!</v>
      </c>
      <c r="EX644" s="1447"/>
      <c r="EY644" s="1447"/>
      <c r="EZ644" s="1447"/>
      <c r="FA644" s="1447"/>
    </row>
    <row r="645" spans="1:157" ht="12.95" customHeight="1">
      <c r="B645" s="52" t="s">
        <v>362</v>
      </c>
      <c r="C645" s="1451"/>
      <c r="D645" s="1451"/>
      <c r="E645" s="1451"/>
      <c r="F645" s="1451"/>
      <c r="G645" s="1451"/>
      <c r="H645" s="1451"/>
      <c r="I645" s="1451"/>
      <c r="J645" s="1451"/>
      <c r="K645" s="1451"/>
      <c r="L645" s="1451"/>
      <c r="M645" s="1452" t="s">
        <v>1183</v>
      </c>
      <c r="N645" s="1452"/>
      <c r="O645" s="1452"/>
      <c r="P645" s="1452"/>
      <c r="Q645" s="1438"/>
      <c r="R645" s="1436"/>
      <c r="S645" s="1437"/>
      <c r="T645" s="1438"/>
      <c r="U645" s="1436"/>
      <c r="V645" s="1437"/>
      <c r="W645" s="1409"/>
      <c r="X645" s="1410"/>
      <c r="Y645" s="1411"/>
      <c r="Z645" s="1439" t="s">
        <v>1183</v>
      </c>
      <c r="AA645" s="1440"/>
      <c r="AB645" s="1441"/>
      <c r="AC645" s="1465"/>
      <c r="AD645" s="1466"/>
      <c r="AE645" s="1467"/>
      <c r="AF645" s="1453"/>
      <c r="AG645" s="1454"/>
      <c r="AH645" s="1454"/>
      <c r="AI645" s="1454"/>
      <c r="AJ645" s="1455"/>
      <c r="AK645" s="1415"/>
      <c r="AL645" s="1416"/>
      <c r="AM645" s="1416"/>
      <c r="AN645" s="1417"/>
      <c r="AO645" s="1432"/>
      <c r="AP645" s="1433"/>
      <c r="AQ645" s="1433"/>
      <c r="AR645" s="1433"/>
      <c r="AS645" s="1434"/>
      <c r="AT645" s="1142" t="str">
        <f t="shared" si="3"/>
        <v/>
      </c>
      <c r="AV645" s="3"/>
      <c r="AW645" s="3"/>
      <c r="AX645" s="3"/>
      <c r="AY645" s="3"/>
      <c r="AZ645" s="34"/>
      <c r="BA645" s="3" t="s">
        <v>2085</v>
      </c>
      <c r="BB645" s="34"/>
      <c r="BC645" s="34"/>
      <c r="BD645" s="34"/>
      <c r="BE645" s="34"/>
      <c r="BF645" s="34"/>
      <c r="BG645" s="34"/>
      <c r="BH645" s="34"/>
      <c r="BI645" s="34"/>
      <c r="BJ645" s="34"/>
      <c r="BK645" s="34"/>
      <c r="BL645" s="34"/>
      <c r="BM645" s="34"/>
      <c r="DA645" s="3"/>
      <c r="DB645" s="3"/>
      <c r="DC645" s="3"/>
      <c r="DD645" s="3"/>
      <c r="DE645" s="3"/>
      <c r="DF645" s="3"/>
      <c r="DX645" s="1447">
        <f t="shared" si="4"/>
        <v>388.75</v>
      </c>
      <c r="DY645" s="1447"/>
      <c r="DZ645" s="1447"/>
      <c r="EA645" s="1447"/>
      <c r="EB645" s="1447"/>
      <c r="EC645" s="1447" t="e">
        <f t="shared" si="5"/>
        <v>#VALUE!</v>
      </c>
      <c r="ED645" s="1447"/>
      <c r="EE645" s="1447"/>
      <c r="EF645" s="1447"/>
      <c r="EG645" s="1447"/>
      <c r="EH645" s="1447" t="e">
        <f t="shared" si="6"/>
        <v>#VALUE!</v>
      </c>
      <c r="EI645" s="1447"/>
      <c r="EJ645" s="1447"/>
      <c r="EK645" s="1447"/>
      <c r="EL645" s="1447"/>
      <c r="EM645" s="1447" t="e">
        <f t="shared" si="7"/>
        <v>#VALUE!</v>
      </c>
      <c r="EN645" s="1447"/>
      <c r="EO645" s="1447"/>
      <c r="EP645" s="1447"/>
      <c r="EQ645" s="1447"/>
      <c r="ER645" s="1447" t="e">
        <f t="shared" si="8"/>
        <v>#VALUE!</v>
      </c>
      <c r="ES645" s="1447"/>
      <c r="ET645" s="1447"/>
      <c r="EU645" s="1447"/>
      <c r="EV645" s="1447"/>
      <c r="EW645" s="1447" t="e">
        <f t="shared" si="9"/>
        <v>#VALUE!</v>
      </c>
      <c r="EX645" s="1447"/>
      <c r="EY645" s="1447"/>
      <c r="EZ645" s="1447"/>
      <c r="FA645" s="1447"/>
    </row>
    <row r="646" spans="1:157" ht="12.95" customHeight="1">
      <c r="B646" s="52" t="s">
        <v>363</v>
      </c>
      <c r="C646" s="1451"/>
      <c r="D646" s="1451"/>
      <c r="E646" s="1451"/>
      <c r="F646" s="1451"/>
      <c r="G646" s="1451"/>
      <c r="H646" s="1451"/>
      <c r="I646" s="1451"/>
      <c r="J646" s="1451"/>
      <c r="K646" s="1451"/>
      <c r="L646" s="1451"/>
      <c r="M646" s="1452" t="s">
        <v>1183</v>
      </c>
      <c r="N646" s="1452"/>
      <c r="O646" s="1452"/>
      <c r="P646" s="1452"/>
      <c r="Q646" s="1438"/>
      <c r="R646" s="1436"/>
      <c r="S646" s="1437"/>
      <c r="T646" s="1438"/>
      <c r="U646" s="1436"/>
      <c r="V646" s="1437"/>
      <c r="W646" s="1409"/>
      <c r="X646" s="1410"/>
      <c r="Y646" s="1411"/>
      <c r="Z646" s="1439" t="s">
        <v>1183</v>
      </c>
      <c r="AA646" s="1440"/>
      <c r="AB646" s="1441"/>
      <c r="AC646" s="1465"/>
      <c r="AD646" s="1466"/>
      <c r="AE646" s="1467"/>
      <c r="AF646" s="1453"/>
      <c r="AG646" s="1454"/>
      <c r="AH646" s="1454"/>
      <c r="AI646" s="1454"/>
      <c r="AJ646" s="1455"/>
      <c r="AK646" s="1415"/>
      <c r="AL646" s="1416"/>
      <c r="AM646" s="1416"/>
      <c r="AN646" s="1417"/>
      <c r="AO646" s="1432"/>
      <c r="AP646" s="1433"/>
      <c r="AQ646" s="1433"/>
      <c r="AR646" s="1433"/>
      <c r="AS646" s="1434"/>
      <c r="AT646" s="1142" t="str">
        <f t="shared" si="3"/>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447">
        <f t="shared" si="4"/>
        <v>394.25</v>
      </c>
      <c r="DY646" s="1447"/>
      <c r="DZ646" s="1447"/>
      <c r="EA646" s="1447"/>
      <c r="EB646" s="1447"/>
      <c r="EC646" s="1447" t="e">
        <f t="shared" si="5"/>
        <v>#VALUE!</v>
      </c>
      <c r="ED646" s="1447"/>
      <c r="EE646" s="1447"/>
      <c r="EF646" s="1447"/>
      <c r="EG646" s="1447"/>
      <c r="EH646" s="1447" t="e">
        <f t="shared" si="6"/>
        <v>#VALUE!</v>
      </c>
      <c r="EI646" s="1447"/>
      <c r="EJ646" s="1447"/>
      <c r="EK646" s="1447"/>
      <c r="EL646" s="1447"/>
      <c r="EM646" s="1447" t="e">
        <f t="shared" si="7"/>
        <v>#VALUE!</v>
      </c>
      <c r="EN646" s="1447"/>
      <c r="EO646" s="1447"/>
      <c r="EP646" s="1447"/>
      <c r="EQ646" s="1447"/>
      <c r="ER646" s="1447" t="e">
        <f t="shared" si="8"/>
        <v>#VALUE!</v>
      </c>
      <c r="ES646" s="1447"/>
      <c r="ET646" s="1447"/>
      <c r="EU646" s="1447"/>
      <c r="EV646" s="1447"/>
      <c r="EW646" s="1447" t="e">
        <f t="shared" si="9"/>
        <v>#VALUE!</v>
      </c>
      <c r="EX646" s="1447"/>
      <c r="EY646" s="1447"/>
      <c r="EZ646" s="1447"/>
      <c r="FA646" s="1447"/>
    </row>
    <row r="647" spans="1:157" ht="12.95" customHeight="1">
      <c r="B647" s="1388" t="s">
        <v>128</v>
      </c>
      <c r="C647" s="1389"/>
      <c r="D647" s="1389"/>
      <c r="E647" s="1389"/>
      <c r="F647" s="1389"/>
      <c r="G647" s="1389"/>
      <c r="H647" s="1389"/>
      <c r="I647" s="1389"/>
      <c r="J647" s="1389"/>
      <c r="K647" s="1389"/>
      <c r="L647" s="1389"/>
      <c r="M647" s="1389"/>
      <c r="N647" s="1389"/>
      <c r="O647" s="1389"/>
      <c r="P647" s="1389"/>
      <c r="Q647" s="1389"/>
      <c r="R647" s="1389"/>
      <c r="S647" s="1389"/>
      <c r="T647" s="1389"/>
      <c r="U647" s="1389"/>
      <c r="V647" s="1389"/>
      <c r="W647" s="1389"/>
      <c r="X647" s="1389"/>
      <c r="Y647" s="1389"/>
      <c r="Z647" s="1389"/>
      <c r="AA647" s="1389"/>
      <c r="AB647" s="1389"/>
      <c r="AC647" s="1389"/>
      <c r="AD647" s="1389"/>
      <c r="AE647" s="1389"/>
      <c r="AF647" s="1389"/>
      <c r="AG647" s="1389"/>
      <c r="AH647" s="1389"/>
      <c r="AI647" s="1389"/>
      <c r="AJ647" s="1389"/>
      <c r="AK647" s="1389"/>
      <c r="AL647" s="1389"/>
      <c r="AM647" s="1389"/>
      <c r="AN647" s="1390"/>
      <c r="AO647" s="1428">
        <f>SUM(AO635:AR646)</f>
        <v>40302911</v>
      </c>
      <c r="AP647" s="1429"/>
      <c r="AQ647" s="1429"/>
      <c r="AR647" s="1429"/>
      <c r="AS647" s="1430"/>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447" t="e">
        <f t="shared" si="4"/>
        <v>#VALUE!</v>
      </c>
      <c r="DY647" s="1447"/>
      <c r="DZ647" s="1447"/>
      <c r="EA647" s="1447"/>
      <c r="EB647" s="1447"/>
      <c r="EC647" s="1447">
        <f t="shared" si="5"/>
        <v>81.417721518987335</v>
      </c>
      <c r="ED647" s="1447"/>
      <c r="EE647" s="1447"/>
      <c r="EF647" s="1447"/>
      <c r="EG647" s="1447"/>
      <c r="EH647" s="1447" t="e">
        <f t="shared" si="6"/>
        <v>#VALUE!</v>
      </c>
      <c r="EI647" s="1447"/>
      <c r="EJ647" s="1447"/>
      <c r="EK647" s="1447"/>
      <c r="EL647" s="1447"/>
      <c r="EM647" s="1447" t="e">
        <f t="shared" si="7"/>
        <v>#VALUE!</v>
      </c>
      <c r="EN647" s="1447"/>
      <c r="EO647" s="1447"/>
      <c r="EP647" s="1447"/>
      <c r="EQ647" s="1447"/>
      <c r="ER647" s="1447" t="e">
        <f t="shared" si="8"/>
        <v>#VALUE!</v>
      </c>
      <c r="ES647" s="1447"/>
      <c r="ET647" s="1447"/>
      <c r="EU647" s="1447"/>
      <c r="EV647" s="1447"/>
      <c r="EW647" s="1447" t="e">
        <f t="shared" si="9"/>
        <v>#VALUE!</v>
      </c>
      <c r="EX647" s="1447"/>
      <c r="EY647" s="1447"/>
      <c r="EZ647" s="1447"/>
      <c r="FA647" s="1447"/>
    </row>
    <row r="648" spans="1:157" ht="12.95" customHeight="1">
      <c r="B648" s="1388" t="s">
        <v>267</v>
      </c>
      <c r="C648" s="1389"/>
      <c r="D648" s="1389"/>
      <c r="E648" s="1389"/>
      <c r="F648" s="1389"/>
      <c r="G648" s="1389"/>
      <c r="H648" s="1389"/>
      <c r="I648" s="1389"/>
      <c r="J648" s="1389"/>
      <c r="K648" s="1389"/>
      <c r="L648" s="1389"/>
      <c r="M648" s="1389"/>
      <c r="N648" s="1389"/>
      <c r="O648" s="1389"/>
      <c r="P648" s="1389"/>
      <c r="Q648" s="1389"/>
      <c r="R648" s="1389"/>
      <c r="S648" s="1389"/>
      <c r="T648" s="1389"/>
      <c r="U648" s="1389"/>
      <c r="V648" s="1389"/>
      <c r="W648" s="1389"/>
      <c r="X648" s="1389"/>
      <c r="Y648" s="1389"/>
      <c r="Z648" s="1389"/>
      <c r="AA648" s="1389"/>
      <c r="AB648" s="1389"/>
      <c r="AC648" s="1389"/>
      <c r="AD648" s="1389"/>
      <c r="AE648" s="1389"/>
      <c r="AF648" s="1389"/>
      <c r="AG648" s="1389"/>
      <c r="AH648" s="1389"/>
      <c r="AI648" s="1389"/>
      <c r="AJ648" s="1389"/>
      <c r="AK648" s="1389"/>
      <c r="AL648" s="1389"/>
      <c r="AM648" s="1389"/>
      <c r="AN648" s="1390"/>
      <c r="AO648" s="1432">
        <f>22303844-1</f>
        <v>22303843</v>
      </c>
      <c r="AP648" s="1433"/>
      <c r="AQ648" s="1433"/>
      <c r="AR648" s="1433"/>
      <c r="AS648" s="1434"/>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447" t="e">
        <f t="shared" si="4"/>
        <v>#VALUE!</v>
      </c>
      <c r="DY648" s="1447"/>
      <c r="DZ648" s="1447"/>
      <c r="EA648" s="1447"/>
      <c r="EB648" s="1447"/>
      <c r="EC648" s="1447">
        <f t="shared" si="5"/>
        <v>277.87341772151899</v>
      </c>
      <c r="ED648" s="1447"/>
      <c r="EE648" s="1447"/>
      <c r="EF648" s="1447"/>
      <c r="EG648" s="1447"/>
      <c r="EH648" s="1447" t="e">
        <f t="shared" si="6"/>
        <v>#VALUE!</v>
      </c>
      <c r="EI648" s="1447"/>
      <c r="EJ648" s="1447"/>
      <c r="EK648" s="1447"/>
      <c r="EL648" s="1447"/>
      <c r="EM648" s="1447" t="e">
        <f t="shared" si="7"/>
        <v>#VALUE!</v>
      </c>
      <c r="EN648" s="1447"/>
      <c r="EO648" s="1447"/>
      <c r="EP648" s="1447"/>
      <c r="EQ648" s="1447"/>
      <c r="ER648" s="1447" t="e">
        <f t="shared" si="8"/>
        <v>#VALUE!</v>
      </c>
      <c r="ES648" s="1447"/>
      <c r="ET648" s="1447"/>
      <c r="EU648" s="1447"/>
      <c r="EV648" s="1447"/>
      <c r="EW648" s="1447" t="e">
        <f t="shared" si="9"/>
        <v>#VALUE!</v>
      </c>
      <c r="EX648" s="1447"/>
      <c r="EY648" s="1447"/>
      <c r="EZ648" s="1447"/>
      <c r="FA648" s="1447"/>
    </row>
    <row r="649" spans="1:157" ht="12.95" customHeight="1">
      <c r="B649" s="1615" t="s">
        <v>268</v>
      </c>
      <c r="C649" s="1616"/>
      <c r="D649" s="1616"/>
      <c r="E649" s="1616"/>
      <c r="F649" s="1616"/>
      <c r="G649" s="1616"/>
      <c r="H649" s="1616"/>
      <c r="I649" s="1616"/>
      <c r="J649" s="1616"/>
      <c r="K649" s="1616"/>
      <c r="L649" s="1616"/>
      <c r="M649" s="1616"/>
      <c r="N649" s="1616"/>
      <c r="O649" s="1616"/>
      <c r="P649" s="1616"/>
      <c r="Q649" s="1616"/>
      <c r="R649" s="1616"/>
      <c r="S649" s="1616"/>
      <c r="T649" s="1616"/>
      <c r="U649" s="1616"/>
      <c r="V649" s="1616"/>
      <c r="W649" s="1616"/>
      <c r="X649" s="1616"/>
      <c r="Y649" s="1616"/>
      <c r="Z649" s="1616"/>
      <c r="AA649" s="1616"/>
      <c r="AB649" s="1616"/>
      <c r="AC649" s="1616"/>
      <c r="AD649" s="1616"/>
      <c r="AE649" s="1616"/>
      <c r="AF649" s="1616"/>
      <c r="AG649" s="1616"/>
      <c r="AH649" s="1616"/>
      <c r="AI649" s="1616"/>
      <c r="AJ649" s="1616"/>
      <c r="AK649" s="1616"/>
      <c r="AL649" s="1616"/>
      <c r="AM649" s="1616"/>
      <c r="AN649" s="1617"/>
      <c r="AO649" s="1428">
        <f>AO647+AO648</f>
        <v>62606754</v>
      </c>
      <c r="AP649" s="1429"/>
      <c r="AQ649" s="1429"/>
      <c r="AR649" s="1429"/>
      <c r="AS649" s="1430"/>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447" t="e">
        <f t="shared" si="4"/>
        <v>#VALUE!</v>
      </c>
      <c r="DY649" s="1447"/>
      <c r="DZ649" s="1447"/>
      <c r="EA649" s="1447"/>
      <c r="EB649" s="1447"/>
      <c r="EC649" s="1447">
        <f t="shared" si="5"/>
        <v>985.21518987341767</v>
      </c>
      <c r="ED649" s="1447"/>
      <c r="EE649" s="1447"/>
      <c r="EF649" s="1447"/>
      <c r="EG649" s="1447"/>
      <c r="EH649" s="1447" t="e">
        <f t="shared" si="6"/>
        <v>#VALUE!</v>
      </c>
      <c r="EI649" s="1447"/>
      <c r="EJ649" s="1447"/>
      <c r="EK649" s="1447"/>
      <c r="EL649" s="1447"/>
      <c r="EM649" s="1447" t="e">
        <f t="shared" si="7"/>
        <v>#VALUE!</v>
      </c>
      <c r="EN649" s="1447"/>
      <c r="EO649" s="1447"/>
      <c r="EP649" s="1447"/>
      <c r="EQ649" s="1447"/>
      <c r="ER649" s="1447" t="e">
        <f t="shared" si="8"/>
        <v>#VALUE!</v>
      </c>
      <c r="ES649" s="1447"/>
      <c r="ET649" s="1447"/>
      <c r="EU649" s="1447"/>
      <c r="EV649" s="1447"/>
      <c r="EW649" s="1447" t="e">
        <f t="shared" si="9"/>
        <v>#VALUE!</v>
      </c>
      <c r="EX649" s="1447"/>
      <c r="EY649" s="1447"/>
      <c r="EZ649" s="1447"/>
      <c r="FA649" s="1447"/>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447" t="e">
        <f t="shared" si="4"/>
        <v>#VALUE!</v>
      </c>
      <c r="DY650" s="1447"/>
      <c r="DZ650" s="1447"/>
      <c r="EA650" s="1447"/>
      <c r="EB650" s="1447"/>
      <c r="EC650" s="1447">
        <f t="shared" si="5"/>
        <v>180.35443037974684</v>
      </c>
      <c r="ED650" s="1447"/>
      <c r="EE650" s="1447"/>
      <c r="EF650" s="1447"/>
      <c r="EG650" s="1447"/>
      <c r="EH650" s="1447" t="e">
        <f t="shared" si="6"/>
        <v>#VALUE!</v>
      </c>
      <c r="EI650" s="1447"/>
      <c r="EJ650" s="1447"/>
      <c r="EK650" s="1447"/>
      <c r="EL650" s="1447"/>
      <c r="EM650" s="1447" t="e">
        <f t="shared" si="7"/>
        <v>#VALUE!</v>
      </c>
      <c r="EN650" s="1447"/>
      <c r="EO650" s="1447"/>
      <c r="EP650" s="1447"/>
      <c r="EQ650" s="1447"/>
      <c r="ER650" s="1447" t="e">
        <f t="shared" si="8"/>
        <v>#VALUE!</v>
      </c>
      <c r="ES650" s="1447"/>
      <c r="ET650" s="1447"/>
      <c r="EU650" s="1447"/>
      <c r="EV650" s="1447"/>
      <c r="EW650" s="1447" t="e">
        <f t="shared" si="9"/>
        <v>#VALUE!</v>
      </c>
      <c r="EX650" s="1447"/>
      <c r="EY650" s="1447"/>
      <c r="EZ650" s="1447"/>
      <c r="FA650" s="1447"/>
    </row>
    <row r="651" spans="1:157" ht="12.95" customHeight="1">
      <c r="A651" s="55" t="s">
        <v>112</v>
      </c>
      <c r="B651" t="s">
        <v>462</v>
      </c>
      <c r="G651" s="1376" t="str">
        <f>C635</f>
        <v xml:space="preserve">CalHFA Perm Loan </v>
      </c>
      <c r="H651" s="1376"/>
      <c r="I651" s="1376"/>
      <c r="J651" s="1376"/>
      <c r="K651" s="1376"/>
      <c r="L651" s="1376"/>
      <c r="M651" s="1376"/>
      <c r="N651" s="1376"/>
      <c r="O651" s="1376"/>
      <c r="P651" s="1376"/>
      <c r="Q651" s="1376"/>
      <c r="R651" s="1376"/>
      <c r="S651" s="8"/>
      <c r="T651" s="55" t="s">
        <v>113</v>
      </c>
      <c r="U651" t="s">
        <v>462</v>
      </c>
      <c r="Z651" s="1376" t="str">
        <f>C636</f>
        <v xml:space="preserve">CalHFA Perm Loan </v>
      </c>
      <c r="AA651" s="1376"/>
      <c r="AB651" s="1376"/>
      <c r="AC651" s="1376"/>
      <c r="AD651" s="1376"/>
      <c r="AE651" s="1376"/>
      <c r="AF651" s="1376"/>
      <c r="AG651" s="1376"/>
      <c r="AH651" s="1376"/>
      <c r="AI651" s="1376"/>
      <c r="AJ651" s="1376"/>
      <c r="AK651" s="1376"/>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447" t="e">
        <f t="shared" si="4"/>
        <v>#VALUE!</v>
      </c>
      <c r="DY651" s="1447"/>
      <c r="DZ651" s="1447"/>
      <c r="EA651" s="1447"/>
      <c r="EB651" s="1447"/>
      <c r="EC651" s="1447" t="e">
        <f t="shared" si="5"/>
        <v>#VALUE!</v>
      </c>
      <c r="ED651" s="1447"/>
      <c r="EE651" s="1447"/>
      <c r="EF651" s="1447"/>
      <c r="EG651" s="1447"/>
      <c r="EH651" s="1447">
        <f t="shared" si="6"/>
        <v>95.98</v>
      </c>
      <c r="EI651" s="1447"/>
      <c r="EJ651" s="1447"/>
      <c r="EK651" s="1447"/>
      <c r="EL651" s="1447"/>
      <c r="EM651" s="1447" t="e">
        <f t="shared" si="7"/>
        <v>#VALUE!</v>
      </c>
      <c r="EN651" s="1447"/>
      <c r="EO651" s="1447"/>
      <c r="EP651" s="1447"/>
      <c r="EQ651" s="1447"/>
      <c r="ER651" s="1447" t="e">
        <f t="shared" si="8"/>
        <v>#VALUE!</v>
      </c>
      <c r="ES651" s="1447"/>
      <c r="ET651" s="1447"/>
      <c r="EU651" s="1447"/>
      <c r="EV651" s="1447"/>
      <c r="EW651" s="1447" t="e">
        <f t="shared" si="9"/>
        <v>#VALUE!</v>
      </c>
      <c r="EX651" s="1447"/>
      <c r="EY651" s="1447"/>
      <c r="EZ651" s="1447"/>
      <c r="FA651" s="1447"/>
    </row>
    <row r="652" spans="1:157" ht="12.95" customHeight="1">
      <c r="A652" s="22"/>
      <c r="B652" t="s">
        <v>85</v>
      </c>
      <c r="G652" s="1377" t="str">
        <f>H345</f>
        <v>500 Capitol Mall, Ste. 1400</v>
      </c>
      <c r="H652" s="1377"/>
      <c r="I652" s="1377"/>
      <c r="J652" s="1377"/>
      <c r="K652" s="1377"/>
      <c r="L652" s="1377"/>
      <c r="M652" s="1377"/>
      <c r="N652" s="1377"/>
      <c r="O652" s="1377"/>
      <c r="P652" s="1377"/>
      <c r="Q652" s="1377"/>
      <c r="R652" s="1377"/>
      <c r="S652" s="8"/>
      <c r="T652" s="22"/>
      <c r="U652" t="s">
        <v>85</v>
      </c>
      <c r="Z652" s="1377" t="str">
        <f>H345</f>
        <v>500 Capitol Mall, Ste. 1400</v>
      </c>
      <c r="AA652" s="1377"/>
      <c r="AB652" s="1377"/>
      <c r="AC652" s="1377"/>
      <c r="AD652" s="1377"/>
      <c r="AE652" s="1377"/>
      <c r="AF652" s="1377"/>
      <c r="AG652" s="1377"/>
      <c r="AH652" s="1377"/>
      <c r="AI652" s="1377"/>
      <c r="AJ652" s="1377"/>
      <c r="AK652" s="1377"/>
      <c r="AV652" s="3"/>
      <c r="AW652" s="3"/>
      <c r="AX652" s="3"/>
      <c r="AY652" s="3"/>
      <c r="AZ652" s="3"/>
      <c r="BA652" s="3"/>
      <c r="BB652" s="3"/>
      <c r="BC652" s="3"/>
      <c r="BD652" s="3"/>
      <c r="BE652" s="3"/>
      <c r="BF652" s="3"/>
      <c r="BG652" s="3"/>
      <c r="BH652" s="3"/>
      <c r="BI652" s="3"/>
      <c r="BJ652" s="3"/>
      <c r="BK652" s="3"/>
      <c r="BL652" s="3"/>
      <c r="BM652" s="3"/>
      <c r="DX652" s="1447" t="e">
        <f t="shared" si="4"/>
        <v>#VALUE!</v>
      </c>
      <c r="DY652" s="1447"/>
      <c r="DZ652" s="1447"/>
      <c r="EA652" s="1447"/>
      <c r="EB652" s="1447"/>
      <c r="EC652" s="1447" t="e">
        <f t="shared" si="5"/>
        <v>#VALUE!</v>
      </c>
      <c r="ED652" s="1447"/>
      <c r="EE652" s="1447"/>
      <c r="EF652" s="1447"/>
      <c r="EG652" s="1447"/>
      <c r="EH652" s="1447">
        <f t="shared" si="6"/>
        <v>328.20000000000005</v>
      </c>
      <c r="EI652" s="1447"/>
      <c r="EJ652" s="1447"/>
      <c r="EK652" s="1447"/>
      <c r="EL652" s="1447"/>
      <c r="EM652" s="1447" t="e">
        <f t="shared" si="7"/>
        <v>#VALUE!</v>
      </c>
      <c r="EN652" s="1447"/>
      <c r="EO652" s="1447"/>
      <c r="EP652" s="1447"/>
      <c r="EQ652" s="1447"/>
      <c r="ER652" s="1447" t="e">
        <f t="shared" si="8"/>
        <v>#VALUE!</v>
      </c>
      <c r="ES652" s="1447"/>
      <c r="ET652" s="1447"/>
      <c r="EU652" s="1447"/>
      <c r="EV652" s="1447"/>
      <c r="EW652" s="1447" t="e">
        <f t="shared" si="9"/>
        <v>#VALUE!</v>
      </c>
      <c r="EX652" s="1447"/>
      <c r="EY652" s="1447"/>
      <c r="EZ652" s="1447"/>
      <c r="FA652" s="1447"/>
    </row>
    <row r="653" spans="1:157" ht="12.95" customHeight="1">
      <c r="A653" s="22"/>
      <c r="B653" t="s">
        <v>579</v>
      </c>
      <c r="G653" s="1377" t="s">
        <v>68</v>
      </c>
      <c r="H653" s="1377"/>
      <c r="I653" s="1377"/>
      <c r="J653" s="1377"/>
      <c r="K653" s="1377"/>
      <c r="L653" s="1377"/>
      <c r="M653" s="1377"/>
      <c r="N653" s="1377"/>
      <c r="O653" s="1377"/>
      <c r="P653" s="1377"/>
      <c r="Q653" s="1377"/>
      <c r="R653" s="1377"/>
      <c r="T653" s="22"/>
      <c r="U653" t="s">
        <v>579</v>
      </c>
      <c r="Z653" s="1404" t="s">
        <v>68</v>
      </c>
      <c r="AA653" s="1404"/>
      <c r="AB653" s="1404"/>
      <c r="AC653" s="1404"/>
      <c r="AD653" s="1404"/>
      <c r="AE653" s="1404"/>
      <c r="AF653" s="1404"/>
      <c r="AG653" s="1404"/>
      <c r="AH653" s="1404"/>
      <c r="AI653" s="1404"/>
      <c r="AJ653" s="1404"/>
      <c r="AK653" s="1404"/>
      <c r="AV653" s="3"/>
      <c r="AW653" s="3"/>
      <c r="AX653" s="3"/>
      <c r="AY653" s="3"/>
      <c r="AZ653" s="3"/>
      <c r="BA653" s="3"/>
      <c r="BB653" s="3"/>
      <c r="BC653" s="3"/>
      <c r="BD653" s="3"/>
      <c r="BE653" s="3"/>
      <c r="BF653" s="3"/>
      <c r="BG653" s="3"/>
      <c r="BH653" s="3"/>
      <c r="BI653" s="3"/>
      <c r="BJ653" s="3"/>
      <c r="BK653" s="3"/>
      <c r="BL653" s="3"/>
      <c r="BM653" s="3"/>
      <c r="DX653" s="1447" t="e">
        <f t="shared" si="4"/>
        <v>#VALUE!</v>
      </c>
      <c r="DY653" s="1447"/>
      <c r="DZ653" s="1447"/>
      <c r="EA653" s="1447"/>
      <c r="EB653" s="1447"/>
      <c r="EC653" s="1447" t="e">
        <f t="shared" si="5"/>
        <v>#VALUE!</v>
      </c>
      <c r="ED653" s="1447"/>
      <c r="EE653" s="1447"/>
      <c r="EF653" s="1447"/>
      <c r="EG653" s="1447"/>
      <c r="EH653" s="1447">
        <f t="shared" si="6"/>
        <v>743.09999999999991</v>
      </c>
      <c r="EI653" s="1447"/>
      <c r="EJ653" s="1447"/>
      <c r="EK653" s="1447"/>
      <c r="EL653" s="1447"/>
      <c r="EM653" s="1447" t="e">
        <f t="shared" si="7"/>
        <v>#VALUE!</v>
      </c>
      <c r="EN653" s="1447"/>
      <c r="EO653" s="1447"/>
      <c r="EP653" s="1447"/>
      <c r="EQ653" s="1447"/>
      <c r="ER653" s="1447" t="e">
        <f t="shared" si="8"/>
        <v>#VALUE!</v>
      </c>
      <c r="ES653" s="1447"/>
      <c r="ET653" s="1447"/>
      <c r="EU653" s="1447"/>
      <c r="EV653" s="1447"/>
      <c r="EW653" s="1447" t="e">
        <f t="shared" si="9"/>
        <v>#VALUE!</v>
      </c>
      <c r="EX653" s="1447"/>
      <c r="EY653" s="1447"/>
      <c r="EZ653" s="1447"/>
      <c r="FA653" s="1447"/>
    </row>
    <row r="654" spans="1:157" ht="12.95" customHeight="1">
      <c r="A654" s="22"/>
      <c r="B654" t="s">
        <v>17</v>
      </c>
      <c r="G654" s="1377" t="str">
        <f>H347</f>
        <v>Kevin Brown</v>
      </c>
      <c r="H654" s="1377"/>
      <c r="I654" s="1377"/>
      <c r="J654" s="1377"/>
      <c r="K654" s="1377"/>
      <c r="L654" s="1377"/>
      <c r="M654" s="1377"/>
      <c r="N654" s="1377"/>
      <c r="O654" s="1377"/>
      <c r="P654" s="1377"/>
      <c r="Q654" s="1377"/>
      <c r="R654" s="1377"/>
      <c r="S654" s="8"/>
      <c r="T654" s="22"/>
      <c r="U654" t="s">
        <v>17</v>
      </c>
      <c r="Z654" s="1404" t="str">
        <f>H347</f>
        <v>Kevin Brown</v>
      </c>
      <c r="AA654" s="1404"/>
      <c r="AB654" s="1404"/>
      <c r="AC654" s="1404"/>
      <c r="AD654" s="1404"/>
      <c r="AE654" s="1404"/>
      <c r="AF654" s="1404"/>
      <c r="AG654" s="1404"/>
      <c r="AH654" s="1404"/>
      <c r="AI654" s="1404"/>
      <c r="AJ654" s="1404"/>
      <c r="AK654" s="1404"/>
      <c r="AZ654" s="3"/>
      <c r="BA654" s="3"/>
      <c r="BB654" s="3"/>
      <c r="BC654" s="3"/>
      <c r="BD654" s="3"/>
      <c r="BE654" s="3"/>
      <c r="BF654" s="3"/>
      <c r="BG654" s="3"/>
      <c r="BH654" s="3"/>
      <c r="BI654" s="3"/>
      <c r="BJ654" s="3"/>
      <c r="BK654" s="3"/>
      <c r="BL654" s="3"/>
      <c r="BM654" s="3"/>
      <c r="DX654" s="1447" t="e">
        <f t="shared" si="4"/>
        <v>#VALUE!</v>
      </c>
      <c r="DY654" s="1447"/>
      <c r="DZ654" s="1447"/>
      <c r="EA654" s="1447"/>
      <c r="EB654" s="1447"/>
      <c r="EC654" s="1447" t="e">
        <f t="shared" si="5"/>
        <v>#VALUE!</v>
      </c>
      <c r="ED654" s="1447"/>
      <c r="EE654" s="1447"/>
      <c r="EF654" s="1447"/>
      <c r="EG654" s="1447"/>
      <c r="EH654" s="1447">
        <f t="shared" si="6"/>
        <v>692.77</v>
      </c>
      <c r="EI654" s="1447"/>
      <c r="EJ654" s="1447"/>
      <c r="EK654" s="1447"/>
      <c r="EL654" s="1447"/>
      <c r="EM654" s="1447" t="e">
        <f t="shared" si="7"/>
        <v>#VALUE!</v>
      </c>
      <c r="EN654" s="1447"/>
      <c r="EO654" s="1447"/>
      <c r="EP654" s="1447"/>
      <c r="EQ654" s="1447"/>
      <c r="ER654" s="1447" t="e">
        <f t="shared" si="8"/>
        <v>#VALUE!</v>
      </c>
      <c r="ES654" s="1447"/>
      <c r="ET654" s="1447"/>
      <c r="EU654" s="1447"/>
      <c r="EV654" s="1447"/>
      <c r="EW654" s="1447" t="e">
        <f t="shared" si="9"/>
        <v>#VALUE!</v>
      </c>
      <c r="EX654" s="1447"/>
      <c r="EY654" s="1447"/>
      <c r="EZ654" s="1447"/>
      <c r="FA654" s="1447"/>
    </row>
    <row r="655" spans="1:157" ht="12.95" customHeight="1">
      <c r="A655" s="22"/>
      <c r="B655" t="s">
        <v>316</v>
      </c>
      <c r="G655" s="1405" t="str">
        <f>H348</f>
        <v>877-922-5432</v>
      </c>
      <c r="H655" s="1405"/>
      <c r="I655" s="1405"/>
      <c r="J655" s="1405"/>
      <c r="K655" s="1405"/>
      <c r="L655" s="1405"/>
      <c r="O655" s="33" t="s">
        <v>206</v>
      </c>
      <c r="P655" s="1369"/>
      <c r="Q655" s="1369"/>
      <c r="R655" s="1369"/>
      <c r="S655" s="10"/>
      <c r="T655" s="22"/>
      <c r="U655" t="s">
        <v>316</v>
      </c>
      <c r="Z655" s="1405" t="str">
        <f>H348</f>
        <v>877-922-5432</v>
      </c>
      <c r="AA655" s="1405"/>
      <c r="AB655" s="1405"/>
      <c r="AC655" s="1405"/>
      <c r="AD655" s="1405"/>
      <c r="AE655" s="1405"/>
      <c r="AH655" s="33" t="s">
        <v>206</v>
      </c>
      <c r="AI655" s="1369"/>
      <c r="AJ655" s="1369"/>
      <c r="AK655" s="1369"/>
      <c r="AZ655" s="34"/>
      <c r="BA655" s="34"/>
      <c r="BB655" s="34"/>
      <c r="BC655" s="34"/>
      <c r="BD655" s="34"/>
      <c r="BE655" s="34"/>
      <c r="BF655" s="34"/>
      <c r="BG655" s="34"/>
      <c r="BH655" s="34"/>
      <c r="BI655" s="34"/>
      <c r="BJ655" s="34"/>
      <c r="BK655" s="34"/>
      <c r="BL655" s="34"/>
      <c r="BM655" s="34"/>
      <c r="DX655" s="1447" t="e">
        <f t="shared" si="4"/>
        <v>#VALUE!</v>
      </c>
      <c r="DY655" s="1447"/>
      <c r="DZ655" s="1447"/>
      <c r="EA655" s="1447"/>
      <c r="EB655" s="1447"/>
      <c r="EC655" s="1447" t="e">
        <f t="shared" si="5"/>
        <v>#VALUE!</v>
      </c>
      <c r="ED655" s="1447"/>
      <c r="EE655" s="1447"/>
      <c r="EF655" s="1447"/>
      <c r="EG655" s="1447"/>
      <c r="EH655" s="1447" t="e">
        <f t="shared" si="6"/>
        <v>#VALUE!</v>
      </c>
      <c r="EI655" s="1447"/>
      <c r="EJ655" s="1447"/>
      <c r="EK655" s="1447"/>
      <c r="EL655" s="1447"/>
      <c r="EM655" s="1447" t="e">
        <f t="shared" si="7"/>
        <v>#VALUE!</v>
      </c>
      <c r="EN655" s="1447"/>
      <c r="EO655" s="1447"/>
      <c r="EP655" s="1447"/>
      <c r="EQ655" s="1447"/>
      <c r="ER655" s="1447" t="e">
        <f t="shared" si="8"/>
        <v>#VALUE!</v>
      </c>
      <c r="ES655" s="1447"/>
      <c r="ET655" s="1447"/>
      <c r="EU655" s="1447"/>
      <c r="EV655" s="1447"/>
      <c r="EW655" s="1447" t="e">
        <f t="shared" si="9"/>
        <v>#VALUE!</v>
      </c>
      <c r="EX655" s="1447"/>
      <c r="EY655" s="1447"/>
      <c r="EZ655" s="1447"/>
      <c r="FA655" s="1447"/>
    </row>
    <row r="656" spans="1:157" ht="12.95" customHeight="1">
      <c r="A656" s="22"/>
      <c r="B656" t="s">
        <v>18</v>
      </c>
      <c r="H656" s="1377" t="s">
        <v>2764</v>
      </c>
      <c r="I656" s="1377"/>
      <c r="J656" s="1377"/>
      <c r="K656" s="1377"/>
      <c r="L656" s="1377"/>
      <c r="M656" s="1377"/>
      <c r="N656" s="1377"/>
      <c r="O656" s="1377"/>
      <c r="P656" s="1377"/>
      <c r="Q656" s="1377"/>
      <c r="R656" s="1377"/>
      <c r="S656" s="8"/>
      <c r="T656" s="22"/>
      <c r="U656" t="s">
        <v>18</v>
      </c>
      <c r="AA656" s="1377" t="s">
        <v>2763</v>
      </c>
      <c r="AB656" s="1377"/>
      <c r="AC656" s="1377"/>
      <c r="AD656" s="1377"/>
      <c r="AE656" s="1377"/>
      <c r="AF656" s="1377"/>
      <c r="AG656" s="1377"/>
      <c r="AH656" s="1377"/>
      <c r="AI656" s="1377"/>
      <c r="AJ656" s="1377"/>
      <c r="AK656" s="1377"/>
      <c r="AZ656" s="34"/>
      <c r="BA656" s="34"/>
      <c r="BB656" s="34"/>
      <c r="BC656" s="34"/>
      <c r="BD656" s="34"/>
      <c r="BE656" s="34"/>
      <c r="BF656" s="34"/>
      <c r="BG656" s="34"/>
      <c r="BH656" s="34"/>
      <c r="BI656" s="34"/>
      <c r="BJ656" s="34"/>
      <c r="BK656" s="34"/>
      <c r="BL656" s="34"/>
      <c r="BM656" s="34"/>
      <c r="DX656" s="1447" t="e">
        <f t="shared" si="4"/>
        <v>#VALUE!</v>
      </c>
      <c r="DY656" s="1447"/>
      <c r="DZ656" s="1447"/>
      <c r="EA656" s="1447"/>
      <c r="EB656" s="1447"/>
      <c r="EC656" s="1447" t="e">
        <f t="shared" si="5"/>
        <v>#VALUE!</v>
      </c>
      <c r="ED656" s="1447"/>
      <c r="EE656" s="1447"/>
      <c r="EF656" s="1447"/>
      <c r="EG656" s="1447"/>
      <c r="EH656" s="1447" t="e">
        <f t="shared" si="6"/>
        <v>#VALUE!</v>
      </c>
      <c r="EI656" s="1447"/>
      <c r="EJ656" s="1447"/>
      <c r="EK656" s="1447"/>
      <c r="EL656" s="1447"/>
      <c r="EM656" s="1447" t="e">
        <f t="shared" si="7"/>
        <v>#VALUE!</v>
      </c>
      <c r="EN656" s="1447"/>
      <c r="EO656" s="1447"/>
      <c r="EP656" s="1447"/>
      <c r="EQ656" s="1447"/>
      <c r="ER656" s="1447" t="e">
        <f t="shared" si="8"/>
        <v>#VALUE!</v>
      </c>
      <c r="ES656" s="1447"/>
      <c r="ET656" s="1447"/>
      <c r="EU656" s="1447"/>
      <c r="EV656" s="1447"/>
      <c r="EW656" s="1447" t="e">
        <f t="shared" si="9"/>
        <v>#VALUE!</v>
      </c>
      <c r="EX656" s="1447"/>
      <c r="EY656" s="1447"/>
      <c r="EZ656" s="1447"/>
      <c r="FA656" s="1447"/>
    </row>
    <row r="657" spans="1:157" ht="12.95" customHeight="1">
      <c r="A657" s="22"/>
      <c r="B657" t="s">
        <v>20</v>
      </c>
      <c r="N657" s="1269" t="s">
        <v>544</v>
      </c>
      <c r="O657" s="1269"/>
      <c r="T657" s="22"/>
      <c r="U657" t="s">
        <v>20</v>
      </c>
      <c r="AG657" s="1269" t="s">
        <v>544</v>
      </c>
      <c r="AH657" s="1269"/>
      <c r="AZ657" s="34"/>
      <c r="BA657" s="34"/>
      <c r="BB657" s="34"/>
      <c r="BC657" s="34"/>
      <c r="BD657" s="34"/>
      <c r="BE657" s="34"/>
      <c r="BF657" s="34"/>
      <c r="BG657" s="34"/>
      <c r="BH657" s="34"/>
      <c r="BI657" s="34"/>
      <c r="BJ657" s="34"/>
      <c r="BK657" s="34"/>
      <c r="BL657" s="34"/>
      <c r="BM657" s="34"/>
      <c r="DX657" s="1447" t="e">
        <f t="shared" si="4"/>
        <v>#VALUE!</v>
      </c>
      <c r="DY657" s="1447"/>
      <c r="DZ657" s="1447"/>
      <c r="EA657" s="1447"/>
      <c r="EB657" s="1447"/>
      <c r="EC657" s="1447" t="e">
        <f t="shared" si="5"/>
        <v>#VALUE!</v>
      </c>
      <c r="ED657" s="1447"/>
      <c r="EE657" s="1447"/>
      <c r="EF657" s="1447"/>
      <c r="EG657" s="1447"/>
      <c r="EH657" s="1447" t="e">
        <f t="shared" si="6"/>
        <v>#VALUE!</v>
      </c>
      <c r="EI657" s="1447"/>
      <c r="EJ657" s="1447"/>
      <c r="EK657" s="1447"/>
      <c r="EL657" s="1447"/>
      <c r="EM657" s="1447" t="e">
        <f t="shared" si="7"/>
        <v>#VALUE!</v>
      </c>
      <c r="EN657" s="1447"/>
      <c r="EO657" s="1447"/>
      <c r="EP657" s="1447"/>
      <c r="EQ657" s="1447"/>
      <c r="ER657" s="1447" t="e">
        <f t="shared" si="8"/>
        <v>#VALUE!</v>
      </c>
      <c r="ES657" s="1447"/>
      <c r="ET657" s="1447"/>
      <c r="EU657" s="1447"/>
      <c r="EV657" s="1447"/>
      <c r="EW657" s="1447" t="e">
        <f t="shared" si="9"/>
        <v>#VALUE!</v>
      </c>
      <c r="EX657" s="1447"/>
      <c r="EY657" s="1447"/>
      <c r="EZ657" s="1447"/>
      <c r="FA657" s="1447"/>
    </row>
    <row r="658" spans="1:157" ht="12.95" customHeight="1">
      <c r="A658" s="22"/>
      <c r="T658" s="22"/>
      <c r="AZ658" s="34"/>
      <c r="BA658" s="34"/>
      <c r="BB658" s="34"/>
      <c r="BC658" s="34"/>
      <c r="BD658" s="34"/>
      <c r="BE658" s="34"/>
      <c r="BF658" s="34"/>
      <c r="BG658" s="34"/>
      <c r="BH658" s="34"/>
      <c r="BI658" s="34"/>
      <c r="BJ658" s="34"/>
      <c r="BK658" s="34"/>
      <c r="BL658" s="34"/>
      <c r="BM658" s="34"/>
      <c r="DX658" s="1447" t="e">
        <f t="shared" si="4"/>
        <v>#VALUE!</v>
      </c>
      <c r="DY658" s="1447"/>
      <c r="DZ658" s="1447"/>
      <c r="EA658" s="1447"/>
      <c r="EB658" s="1447"/>
      <c r="EC658" s="1447" t="e">
        <f t="shared" si="5"/>
        <v>#VALUE!</v>
      </c>
      <c r="ED658" s="1447"/>
      <c r="EE658" s="1447"/>
      <c r="EF658" s="1447"/>
      <c r="EG658" s="1447"/>
      <c r="EH658" s="1447" t="e">
        <f t="shared" si="6"/>
        <v>#VALUE!</v>
      </c>
      <c r="EI658" s="1447"/>
      <c r="EJ658" s="1447"/>
      <c r="EK658" s="1447"/>
      <c r="EL658" s="1447"/>
      <c r="EM658" s="1447" t="e">
        <f t="shared" si="7"/>
        <v>#VALUE!</v>
      </c>
      <c r="EN658" s="1447"/>
      <c r="EO658" s="1447"/>
      <c r="EP658" s="1447"/>
      <c r="EQ658" s="1447"/>
      <c r="ER658" s="1447" t="e">
        <f t="shared" si="8"/>
        <v>#VALUE!</v>
      </c>
      <c r="ES658" s="1447"/>
      <c r="ET658" s="1447"/>
      <c r="EU658" s="1447"/>
      <c r="EV658" s="1447"/>
      <c r="EW658" s="1447" t="e">
        <f t="shared" si="9"/>
        <v>#VALUE!</v>
      </c>
      <c r="EX658" s="1447"/>
      <c r="EY658" s="1447"/>
      <c r="EZ658" s="1447"/>
      <c r="FA658" s="1447"/>
    </row>
    <row r="659" spans="1:157" ht="12.95" customHeight="1">
      <c r="A659" s="55" t="s">
        <v>119</v>
      </c>
      <c r="B659" t="s">
        <v>462</v>
      </c>
      <c r="G659" s="1376" t="str">
        <f>C637</f>
        <v>CalHFA-MIP</v>
      </c>
      <c r="H659" s="1376"/>
      <c r="I659" s="1376"/>
      <c r="J659" s="1376"/>
      <c r="K659" s="1376"/>
      <c r="L659" s="1376"/>
      <c r="M659" s="1376"/>
      <c r="N659" s="1376"/>
      <c r="O659" s="1376"/>
      <c r="P659" s="1376"/>
      <c r="Q659" s="1376"/>
      <c r="R659" s="1376"/>
      <c r="T659" s="55" t="s">
        <v>580</v>
      </c>
      <c r="U659" t="s">
        <v>462</v>
      </c>
      <c r="Z659" s="1376" t="str">
        <f>C638</f>
        <v>R2H Development - Deferred Developer Fee</v>
      </c>
      <c r="AA659" s="1376"/>
      <c r="AB659" s="1376"/>
      <c r="AC659" s="1376"/>
      <c r="AD659" s="1376"/>
      <c r="AE659" s="1376"/>
      <c r="AF659" s="1376"/>
      <c r="AG659" s="1376"/>
      <c r="AH659" s="1376"/>
      <c r="AI659" s="1376"/>
      <c r="AJ659" s="1376"/>
      <c r="AK659" s="1376"/>
      <c r="AZ659" s="34"/>
      <c r="BA659" s="34"/>
      <c r="BB659" s="34"/>
      <c r="BC659" s="34"/>
      <c r="BD659" s="34"/>
      <c r="BE659" s="34"/>
      <c r="BF659" s="34"/>
      <c r="BG659" s="34"/>
      <c r="BH659" s="34"/>
      <c r="BI659" s="34"/>
      <c r="BJ659" s="34"/>
      <c r="BK659" s="34"/>
      <c r="BL659" s="34"/>
      <c r="BM659" s="34"/>
      <c r="DX659" s="1447" t="e">
        <f t="shared" si="4"/>
        <v>#VALUE!</v>
      </c>
      <c r="DY659" s="1447"/>
      <c r="DZ659" s="1447"/>
      <c r="EA659" s="1447"/>
      <c r="EB659" s="1447"/>
      <c r="EC659" s="1447" t="e">
        <f t="shared" si="5"/>
        <v>#VALUE!</v>
      </c>
      <c r="ED659" s="1447"/>
      <c r="EE659" s="1447"/>
      <c r="EF659" s="1447"/>
      <c r="EG659" s="1447"/>
      <c r="EH659" s="1447" t="e">
        <f t="shared" si="6"/>
        <v>#VALUE!</v>
      </c>
      <c r="EI659" s="1447"/>
      <c r="EJ659" s="1447"/>
      <c r="EK659" s="1447"/>
      <c r="EL659" s="1447"/>
      <c r="EM659" s="1447" t="e">
        <f t="shared" si="7"/>
        <v>#VALUE!</v>
      </c>
      <c r="EN659" s="1447"/>
      <c r="EO659" s="1447"/>
      <c r="EP659" s="1447"/>
      <c r="EQ659" s="1447"/>
      <c r="ER659" s="1447" t="e">
        <f t="shared" si="8"/>
        <v>#VALUE!</v>
      </c>
      <c r="ES659" s="1447"/>
      <c r="ET659" s="1447"/>
      <c r="EU659" s="1447"/>
      <c r="EV659" s="1447"/>
      <c r="EW659" s="1447" t="e">
        <f t="shared" si="9"/>
        <v>#VALUE!</v>
      </c>
      <c r="EX659" s="1447"/>
      <c r="EY659" s="1447"/>
      <c r="EZ659" s="1447"/>
      <c r="FA659" s="1447"/>
    </row>
    <row r="660" spans="1:157" ht="12.95" customHeight="1">
      <c r="A660" s="22"/>
      <c r="B660" t="s">
        <v>85</v>
      </c>
      <c r="G660" s="1377" t="str">
        <f>H345</f>
        <v>500 Capitol Mall, Ste. 1400</v>
      </c>
      <c r="H660" s="1377"/>
      <c r="I660" s="1377"/>
      <c r="J660" s="1377"/>
      <c r="K660" s="1377"/>
      <c r="L660" s="1377"/>
      <c r="M660" s="1377"/>
      <c r="N660" s="1377"/>
      <c r="O660" s="1377"/>
      <c r="P660" s="1377"/>
      <c r="Q660" s="1377"/>
      <c r="R660" s="1377"/>
      <c r="T660" s="22"/>
      <c r="U660" t="s">
        <v>85</v>
      </c>
      <c r="Z660" s="1377" t="str">
        <f>M269</f>
        <v>12034 Nugent Dr</v>
      </c>
      <c r="AA660" s="1377"/>
      <c r="AB660" s="1377"/>
      <c r="AC660" s="1377"/>
      <c r="AD660" s="1377"/>
      <c r="AE660" s="1377"/>
      <c r="AF660" s="1377"/>
      <c r="AG660" s="1377"/>
      <c r="AH660" s="1377"/>
      <c r="AI660" s="1377"/>
      <c r="AJ660" s="1377"/>
      <c r="AK660" s="1377"/>
      <c r="AZ660" s="34"/>
      <c r="BA660" s="34"/>
      <c r="BB660" s="34"/>
      <c r="BC660" s="34"/>
      <c r="BD660" s="34"/>
      <c r="BE660" s="34"/>
      <c r="BF660" s="34"/>
      <c r="BG660" s="34"/>
      <c r="BH660" s="34"/>
      <c r="BI660" s="34"/>
      <c r="BJ660" s="34"/>
      <c r="BK660" s="34"/>
      <c r="BL660" s="34"/>
      <c r="BM660" s="34"/>
      <c r="DX660" s="1447" t="e">
        <f t="shared" si="4"/>
        <v>#VALUE!</v>
      </c>
      <c r="DY660" s="1447"/>
      <c r="DZ660" s="1447"/>
      <c r="EA660" s="1447"/>
      <c r="EB660" s="1447"/>
      <c r="EC660" s="1447" t="e">
        <f t="shared" si="5"/>
        <v>#VALUE!</v>
      </c>
      <c r="ED660" s="1447"/>
      <c r="EE660" s="1447"/>
      <c r="EF660" s="1447"/>
      <c r="EG660" s="1447"/>
      <c r="EH660" s="1447" t="e">
        <f t="shared" si="6"/>
        <v>#VALUE!</v>
      </c>
      <c r="EI660" s="1447"/>
      <c r="EJ660" s="1447"/>
      <c r="EK660" s="1447"/>
      <c r="EL660" s="1447"/>
      <c r="EM660" s="1447" t="e">
        <f t="shared" si="7"/>
        <v>#VALUE!</v>
      </c>
      <c r="EN660" s="1447"/>
      <c r="EO660" s="1447"/>
      <c r="EP660" s="1447"/>
      <c r="EQ660" s="1447"/>
      <c r="ER660" s="1447" t="e">
        <f t="shared" si="8"/>
        <v>#VALUE!</v>
      </c>
      <c r="ES660" s="1447"/>
      <c r="ET660" s="1447"/>
      <c r="EU660" s="1447"/>
      <c r="EV660" s="1447"/>
      <c r="EW660" s="1447" t="e">
        <f t="shared" si="9"/>
        <v>#VALUE!</v>
      </c>
      <c r="EX660" s="1447"/>
      <c r="EY660" s="1447"/>
      <c r="EZ660" s="1447"/>
      <c r="FA660" s="1447"/>
    </row>
    <row r="661" spans="1:157" ht="12.95" customHeight="1">
      <c r="A661" s="22"/>
      <c r="B661" t="s">
        <v>579</v>
      </c>
      <c r="G661" s="1404" t="s">
        <v>68</v>
      </c>
      <c r="H661" s="1404"/>
      <c r="I661" s="1404"/>
      <c r="J661" s="1404"/>
      <c r="K661" s="1404"/>
      <c r="L661" s="1404"/>
      <c r="M661" s="1404"/>
      <c r="N661" s="1404"/>
      <c r="O661" s="1404"/>
      <c r="P661" s="1404"/>
      <c r="Q661" s="1404"/>
      <c r="R661" s="1404"/>
      <c r="T661" s="22"/>
      <c r="U661" t="s">
        <v>579</v>
      </c>
      <c r="Z661" s="1404" t="str">
        <f>M270</f>
        <v>Granada Hills</v>
      </c>
      <c r="AA661" s="1404"/>
      <c r="AB661" s="1404"/>
      <c r="AC661" s="1404"/>
      <c r="AD661" s="1404"/>
      <c r="AE661" s="1404"/>
      <c r="AF661" s="1404"/>
      <c r="AG661" s="1404"/>
      <c r="AH661" s="1404"/>
      <c r="AI661" s="1404"/>
      <c r="AJ661" s="1404"/>
      <c r="AK661" s="1404"/>
      <c r="AZ661" s="34"/>
      <c r="BA661" s="34"/>
      <c r="BB661" s="34"/>
      <c r="BC661" s="34"/>
      <c r="BD661" s="34"/>
      <c r="BE661" s="34"/>
      <c r="BF661" s="34"/>
      <c r="BG661" s="34"/>
      <c r="BH661" s="34"/>
      <c r="BI661" s="34"/>
      <c r="BJ661" s="34"/>
      <c r="BK661" s="34"/>
      <c r="BL661" s="34"/>
      <c r="BM661" s="34"/>
      <c r="DX661" s="1447" t="e">
        <f t="shared" si="4"/>
        <v>#VALUE!</v>
      </c>
      <c r="DY661" s="1447"/>
      <c r="DZ661" s="1447"/>
      <c r="EA661" s="1447"/>
      <c r="EB661" s="1447"/>
      <c r="EC661" s="1447" t="e">
        <f t="shared" si="5"/>
        <v>#VALUE!</v>
      </c>
      <c r="ED661" s="1447"/>
      <c r="EE661" s="1447"/>
      <c r="EF661" s="1447"/>
      <c r="EG661" s="1447"/>
      <c r="EH661" s="1447" t="e">
        <f t="shared" si="6"/>
        <v>#VALUE!</v>
      </c>
      <c r="EI661" s="1447"/>
      <c r="EJ661" s="1447"/>
      <c r="EK661" s="1447"/>
      <c r="EL661" s="1447"/>
      <c r="EM661" s="1447" t="e">
        <f t="shared" si="7"/>
        <v>#VALUE!</v>
      </c>
      <c r="EN661" s="1447"/>
      <c r="EO661" s="1447"/>
      <c r="EP661" s="1447"/>
      <c r="EQ661" s="1447"/>
      <c r="ER661" s="1447" t="e">
        <f t="shared" si="8"/>
        <v>#VALUE!</v>
      </c>
      <c r="ES661" s="1447"/>
      <c r="ET661" s="1447"/>
      <c r="EU661" s="1447"/>
      <c r="EV661" s="1447"/>
      <c r="EW661" s="1447" t="e">
        <f t="shared" si="9"/>
        <v>#VALUE!</v>
      </c>
      <c r="EX661" s="1447"/>
      <c r="EY661" s="1447"/>
      <c r="EZ661" s="1447"/>
      <c r="FA661" s="1447"/>
    </row>
    <row r="662" spans="1:157" ht="12.95" customHeight="1">
      <c r="A662" s="22"/>
      <c r="B662" t="s">
        <v>17</v>
      </c>
      <c r="G662" s="1404" t="str">
        <f>H347</f>
        <v>Kevin Brown</v>
      </c>
      <c r="H662" s="1404"/>
      <c r="I662" s="1404"/>
      <c r="J662" s="1404"/>
      <c r="K662" s="1404"/>
      <c r="L662" s="1404"/>
      <c r="M662" s="1404"/>
      <c r="N662" s="1404"/>
      <c r="O662" s="1404"/>
      <c r="P662" s="1404"/>
      <c r="Q662" s="1404"/>
      <c r="R662" s="1404"/>
      <c r="T662" s="22"/>
      <c r="U662" t="s">
        <v>17</v>
      </c>
      <c r="Z662" s="1404" t="str">
        <f>M271</f>
        <v>Aaron Mensch</v>
      </c>
      <c r="AA662" s="1404"/>
      <c r="AB662" s="1404"/>
      <c r="AC662" s="1404"/>
      <c r="AD662" s="1404"/>
      <c r="AE662" s="1404"/>
      <c r="AF662" s="1404"/>
      <c r="AG662" s="1404"/>
      <c r="AH662" s="1404"/>
      <c r="AI662" s="1404"/>
      <c r="AJ662" s="1404"/>
      <c r="AK662" s="1404"/>
      <c r="AZ662" s="34"/>
      <c r="BA662" s="34"/>
      <c r="BB662" s="34"/>
      <c r="BC662" s="34"/>
      <c r="BD662" s="34"/>
      <c r="BE662" s="34"/>
      <c r="BF662" s="34"/>
      <c r="BG662" s="34"/>
      <c r="BH662" s="34"/>
      <c r="BI662" s="34"/>
      <c r="BJ662" s="34"/>
      <c r="BK662" s="34"/>
      <c r="BL662" s="34"/>
      <c r="BM662" s="34"/>
      <c r="DX662" s="1447" t="e">
        <f t="shared" si="4"/>
        <v>#VALUE!</v>
      </c>
      <c r="DY662" s="1447"/>
      <c r="DZ662" s="1447"/>
      <c r="EA662" s="1447"/>
      <c r="EB662" s="1447"/>
      <c r="EC662" s="1447" t="e">
        <f t="shared" si="5"/>
        <v>#VALUE!</v>
      </c>
      <c r="ED662" s="1447"/>
      <c r="EE662" s="1447"/>
      <c r="EF662" s="1447"/>
      <c r="EG662" s="1447"/>
      <c r="EH662" s="1447" t="e">
        <f t="shared" si="6"/>
        <v>#VALUE!</v>
      </c>
      <c r="EI662" s="1447"/>
      <c r="EJ662" s="1447"/>
      <c r="EK662" s="1447"/>
      <c r="EL662" s="1447"/>
      <c r="EM662" s="1447" t="e">
        <f t="shared" si="7"/>
        <v>#VALUE!</v>
      </c>
      <c r="EN662" s="1447"/>
      <c r="EO662" s="1447"/>
      <c r="EP662" s="1447"/>
      <c r="EQ662" s="1447"/>
      <c r="ER662" s="1447" t="e">
        <f t="shared" si="8"/>
        <v>#VALUE!</v>
      </c>
      <c r="ES662" s="1447"/>
      <c r="ET662" s="1447"/>
      <c r="EU662" s="1447"/>
      <c r="EV662" s="1447"/>
      <c r="EW662" s="1447" t="e">
        <f t="shared" si="9"/>
        <v>#VALUE!</v>
      </c>
      <c r="EX662" s="1447"/>
      <c r="EY662" s="1447"/>
      <c r="EZ662" s="1447"/>
      <c r="FA662" s="1447"/>
    </row>
    <row r="663" spans="1:157" ht="12.95" customHeight="1">
      <c r="A663" s="22"/>
      <c r="B663" t="s">
        <v>316</v>
      </c>
      <c r="G663" s="1405" t="str">
        <f>H348</f>
        <v>877-922-5432</v>
      </c>
      <c r="H663" s="1405"/>
      <c r="I663" s="1405"/>
      <c r="J663" s="1405"/>
      <c r="K663" s="1405"/>
      <c r="L663" s="1405"/>
      <c r="O663" s="33" t="s">
        <v>206</v>
      </c>
      <c r="P663" s="1369"/>
      <c r="Q663" s="1369"/>
      <c r="R663" s="1369"/>
      <c r="T663" s="22"/>
      <c r="U663" t="s">
        <v>316</v>
      </c>
      <c r="Z663" s="1405">
        <f>M272</f>
        <v>8182717174</v>
      </c>
      <c r="AA663" s="1405"/>
      <c r="AB663" s="1405"/>
      <c r="AC663" s="1405"/>
      <c r="AD663" s="1405"/>
      <c r="AE663" s="1405"/>
      <c r="AH663" s="33" t="s">
        <v>206</v>
      </c>
      <c r="AI663" s="1369"/>
      <c r="AJ663" s="1369"/>
      <c r="AK663" s="1369"/>
      <c r="AZ663" s="34"/>
      <c r="BA663" s="34"/>
      <c r="BB663" s="34"/>
      <c r="BC663" s="34"/>
      <c r="BD663" s="34"/>
      <c r="BE663" s="34"/>
      <c r="BF663" s="34"/>
      <c r="BG663" s="34"/>
      <c r="BH663" s="34"/>
      <c r="BI663" s="34"/>
      <c r="BJ663" s="34"/>
      <c r="BK663" s="34"/>
      <c r="BL663" s="34"/>
      <c r="BM663" s="34"/>
      <c r="DX663" s="1447" t="e">
        <f t="shared" si="4"/>
        <v>#VALUE!</v>
      </c>
      <c r="DY663" s="1447"/>
      <c r="DZ663" s="1447"/>
      <c r="EA663" s="1447"/>
      <c r="EB663" s="1447"/>
      <c r="EC663" s="1447" t="e">
        <f t="shared" si="5"/>
        <v>#VALUE!</v>
      </c>
      <c r="ED663" s="1447"/>
      <c r="EE663" s="1447"/>
      <c r="EF663" s="1447"/>
      <c r="EG663" s="1447"/>
      <c r="EH663" s="1447" t="e">
        <f t="shared" si="6"/>
        <v>#VALUE!</v>
      </c>
      <c r="EI663" s="1447"/>
      <c r="EJ663" s="1447"/>
      <c r="EK663" s="1447"/>
      <c r="EL663" s="1447"/>
      <c r="EM663" s="1447" t="e">
        <f t="shared" si="7"/>
        <v>#VALUE!</v>
      </c>
      <c r="EN663" s="1447"/>
      <c r="EO663" s="1447"/>
      <c r="EP663" s="1447"/>
      <c r="EQ663" s="1447"/>
      <c r="ER663" s="1447" t="e">
        <f t="shared" si="8"/>
        <v>#VALUE!</v>
      </c>
      <c r="ES663" s="1447"/>
      <c r="ET663" s="1447"/>
      <c r="EU663" s="1447"/>
      <c r="EV663" s="1447"/>
      <c r="EW663" s="1447" t="e">
        <f t="shared" si="9"/>
        <v>#VALUE!</v>
      </c>
      <c r="EX663" s="1447"/>
      <c r="EY663" s="1447"/>
      <c r="EZ663" s="1447"/>
      <c r="FA663" s="1447"/>
    </row>
    <row r="664" spans="1:157" ht="12.95" customHeight="1">
      <c r="A664" s="22"/>
      <c r="B664" t="s">
        <v>18</v>
      </c>
      <c r="H664" s="1377" t="s">
        <v>2762</v>
      </c>
      <c r="I664" s="1377"/>
      <c r="J664" s="1377"/>
      <c r="K664" s="1377"/>
      <c r="L664" s="1377"/>
      <c r="M664" s="1377"/>
      <c r="N664" s="1377"/>
      <c r="O664" s="1377"/>
      <c r="P664" s="1377"/>
      <c r="Q664" s="1377"/>
      <c r="R664" s="1377"/>
      <c r="T664" s="22"/>
      <c r="U664" t="s">
        <v>18</v>
      </c>
      <c r="AA664" s="1377" t="s">
        <v>2700</v>
      </c>
      <c r="AB664" s="1377"/>
      <c r="AC664" s="1377"/>
      <c r="AD664" s="1377"/>
      <c r="AE664" s="1377"/>
      <c r="AF664" s="1377"/>
      <c r="AG664" s="1377"/>
      <c r="AH664" s="1377"/>
      <c r="AI664" s="1377"/>
      <c r="AJ664" s="1377"/>
      <c r="AK664" s="1377"/>
      <c r="AZ664" s="34"/>
      <c r="BA664" s="34"/>
      <c r="BB664" s="34"/>
      <c r="BC664" s="34"/>
      <c r="BD664" s="34"/>
      <c r="BE664" s="34"/>
      <c r="BF664" s="34"/>
      <c r="BG664" s="34"/>
      <c r="BH664" s="34"/>
      <c r="BI664" s="34"/>
      <c r="BJ664" s="34"/>
      <c r="BK664" s="34"/>
      <c r="BL664" s="34"/>
      <c r="BM664" s="34"/>
      <c r="DX664" s="1447" t="e">
        <f t="shared" si="4"/>
        <v>#VALUE!</v>
      </c>
      <c r="DY664" s="1447"/>
      <c r="DZ664" s="1447"/>
      <c r="EA664" s="1447"/>
      <c r="EB664" s="1447"/>
      <c r="EC664" s="1447" t="e">
        <f t="shared" si="5"/>
        <v>#VALUE!</v>
      </c>
      <c r="ED664" s="1447"/>
      <c r="EE664" s="1447"/>
      <c r="EF664" s="1447"/>
      <c r="EG664" s="1447"/>
      <c r="EH664" s="1447" t="e">
        <f t="shared" si="6"/>
        <v>#VALUE!</v>
      </c>
      <c r="EI664" s="1447"/>
      <c r="EJ664" s="1447"/>
      <c r="EK664" s="1447"/>
      <c r="EL664" s="1447"/>
      <c r="EM664" s="1447" t="e">
        <f t="shared" si="7"/>
        <v>#VALUE!</v>
      </c>
      <c r="EN664" s="1447"/>
      <c r="EO664" s="1447"/>
      <c r="EP664" s="1447"/>
      <c r="EQ664" s="1447"/>
      <c r="ER664" s="1447" t="e">
        <f t="shared" si="8"/>
        <v>#VALUE!</v>
      </c>
      <c r="ES664" s="1447"/>
      <c r="ET664" s="1447"/>
      <c r="EU664" s="1447"/>
      <c r="EV664" s="1447"/>
      <c r="EW664" s="1447" t="e">
        <f t="shared" si="9"/>
        <v>#VALUE!</v>
      </c>
      <c r="EX664" s="1447"/>
      <c r="EY664" s="1447"/>
      <c r="EZ664" s="1447"/>
      <c r="FA664" s="1447"/>
    </row>
    <row r="665" spans="1:157" ht="12.95" customHeight="1">
      <c r="A665" s="22"/>
      <c r="B665" t="s">
        <v>20</v>
      </c>
      <c r="N665" s="1269" t="s">
        <v>544</v>
      </c>
      <c r="O665" s="1269"/>
      <c r="T665" s="22"/>
      <c r="U665" t="s">
        <v>20</v>
      </c>
      <c r="AG665" s="1269" t="s">
        <v>544</v>
      </c>
      <c r="AH665" s="1269"/>
      <c r="AZ665" s="34"/>
      <c r="BA665" s="34"/>
      <c r="BB665" s="34"/>
      <c r="BC665" s="34"/>
      <c r="BD665" s="34"/>
      <c r="BE665" s="34"/>
      <c r="BF665" s="34"/>
      <c r="BG665" s="34"/>
      <c r="BH665" s="34"/>
      <c r="BI665" s="34"/>
      <c r="BJ665" s="34"/>
      <c r="BK665" s="34"/>
      <c r="BL665" s="34"/>
      <c r="BM665" s="34"/>
      <c r="DX665" s="1447" t="e">
        <f t="shared" si="4"/>
        <v>#VALUE!</v>
      </c>
      <c r="DY665" s="1447"/>
      <c r="DZ665" s="1447"/>
      <c r="EA665" s="1447"/>
      <c r="EB665" s="1447"/>
      <c r="EC665" s="1447" t="e">
        <f t="shared" si="5"/>
        <v>#VALUE!</v>
      </c>
      <c r="ED665" s="1447"/>
      <c r="EE665" s="1447"/>
      <c r="EF665" s="1447"/>
      <c r="EG665" s="1447"/>
      <c r="EH665" s="1447" t="e">
        <f t="shared" si="6"/>
        <v>#VALUE!</v>
      </c>
      <c r="EI665" s="1447"/>
      <c r="EJ665" s="1447"/>
      <c r="EK665" s="1447"/>
      <c r="EL665" s="1447"/>
      <c r="EM665" s="1447" t="e">
        <f t="shared" si="7"/>
        <v>#VALUE!</v>
      </c>
      <c r="EN665" s="1447"/>
      <c r="EO665" s="1447"/>
      <c r="EP665" s="1447"/>
      <c r="EQ665" s="1447"/>
      <c r="ER665" s="1447" t="e">
        <f t="shared" si="8"/>
        <v>#VALUE!</v>
      </c>
      <c r="ES665" s="1447"/>
      <c r="ET665" s="1447"/>
      <c r="EU665" s="1447"/>
      <c r="EV665" s="1447"/>
      <c r="EW665" s="1447" t="e">
        <f t="shared" si="9"/>
        <v>#VALUE!</v>
      </c>
      <c r="EX665" s="1447"/>
      <c r="EY665" s="1447"/>
      <c r="EZ665" s="1447"/>
      <c r="FA665" s="1447"/>
    </row>
    <row r="666" spans="1:157" ht="12.95" customHeight="1">
      <c r="A666" s="22"/>
      <c r="T666" s="22"/>
      <c r="AZ666" s="34"/>
      <c r="BA666" s="34"/>
      <c r="BB666" s="34"/>
      <c r="BC666" s="34"/>
      <c r="BD666" s="34"/>
      <c r="BE666" s="34"/>
      <c r="BF666" s="34"/>
      <c r="BG666" s="34"/>
      <c r="BH666" s="34"/>
      <c r="BI666" s="34"/>
      <c r="BJ666" s="34"/>
      <c r="BK666" s="34"/>
      <c r="BL666" s="34"/>
      <c r="BM666" s="34"/>
      <c r="DX666" s="1447" t="e">
        <f t="shared" si="4"/>
        <v>#VALUE!</v>
      </c>
      <c r="DY666" s="1447"/>
      <c r="DZ666" s="1447"/>
      <c r="EA666" s="1447"/>
      <c r="EB666" s="1447"/>
      <c r="EC666" s="1447" t="e">
        <f t="shared" si="5"/>
        <v>#VALUE!</v>
      </c>
      <c r="ED666" s="1447"/>
      <c r="EE666" s="1447"/>
      <c r="EF666" s="1447"/>
      <c r="EG666" s="1447"/>
      <c r="EH666" s="1447" t="e">
        <f t="shared" si="6"/>
        <v>#VALUE!</v>
      </c>
      <c r="EI666" s="1447"/>
      <c r="EJ666" s="1447"/>
      <c r="EK666" s="1447"/>
      <c r="EL666" s="1447"/>
      <c r="EM666" s="1447" t="e">
        <f t="shared" si="7"/>
        <v>#VALUE!</v>
      </c>
      <c r="EN666" s="1447"/>
      <c r="EO666" s="1447"/>
      <c r="EP666" s="1447"/>
      <c r="EQ666" s="1447"/>
      <c r="ER666" s="1447" t="e">
        <f t="shared" si="8"/>
        <v>#VALUE!</v>
      </c>
      <c r="ES666" s="1447"/>
      <c r="ET666" s="1447"/>
      <c r="EU666" s="1447"/>
      <c r="EV666" s="1447"/>
      <c r="EW666" s="1447" t="e">
        <f t="shared" si="9"/>
        <v>#VALUE!</v>
      </c>
      <c r="EX666" s="1447"/>
      <c r="EY666" s="1447"/>
      <c r="EZ666" s="1447"/>
      <c r="FA666" s="1447"/>
    </row>
    <row r="667" spans="1:157" ht="12.95" customHeight="1">
      <c r="A667" s="55" t="s">
        <v>762</v>
      </c>
      <c r="B667" t="s">
        <v>462</v>
      </c>
      <c r="G667" s="1376">
        <f>C639</f>
        <v>0</v>
      </c>
      <c r="H667" s="1376"/>
      <c r="I667" s="1376"/>
      <c r="J667" s="1376"/>
      <c r="K667" s="1376"/>
      <c r="L667" s="1376"/>
      <c r="M667" s="1376"/>
      <c r="N667" s="1376"/>
      <c r="O667" s="1376"/>
      <c r="P667" s="1376"/>
      <c r="Q667" s="1376"/>
      <c r="R667" s="1376"/>
      <c r="T667" s="55" t="s">
        <v>583</v>
      </c>
      <c r="U667" t="s">
        <v>462</v>
      </c>
      <c r="Z667" s="1376">
        <f>C640</f>
        <v>0</v>
      </c>
      <c r="AA667" s="1376"/>
      <c r="AB667" s="1376"/>
      <c r="AC667" s="1376"/>
      <c r="AD667" s="1376"/>
      <c r="AE667" s="1376"/>
      <c r="AF667" s="1376"/>
      <c r="AG667" s="1376"/>
      <c r="AH667" s="1376"/>
      <c r="AI667" s="1376"/>
      <c r="AJ667" s="1376"/>
      <c r="AK667" s="1376"/>
      <c r="AZ667" s="34"/>
      <c r="BA667" s="34"/>
      <c r="BB667" s="34"/>
      <c r="BC667" s="34"/>
      <c r="BD667" s="34"/>
      <c r="BE667" s="34"/>
      <c r="BF667" s="34"/>
      <c r="BG667" s="34"/>
      <c r="BH667" s="34"/>
      <c r="BI667" s="34"/>
      <c r="BJ667" s="34"/>
      <c r="BK667" s="34"/>
      <c r="BL667" s="34"/>
      <c r="BM667" s="34"/>
      <c r="DX667" s="1447" t="e">
        <f t="shared" si="4"/>
        <v>#VALUE!</v>
      </c>
      <c r="DY667" s="1447"/>
      <c r="DZ667" s="1447"/>
      <c r="EA667" s="1447"/>
      <c r="EB667" s="1447"/>
      <c r="EC667" s="1447" t="e">
        <f t="shared" si="5"/>
        <v>#VALUE!</v>
      </c>
      <c r="ED667" s="1447"/>
      <c r="EE667" s="1447"/>
      <c r="EF667" s="1447"/>
      <c r="EG667" s="1447"/>
      <c r="EH667" s="1447" t="e">
        <f t="shared" si="6"/>
        <v>#VALUE!</v>
      </c>
      <c r="EI667" s="1447"/>
      <c r="EJ667" s="1447"/>
      <c r="EK667" s="1447"/>
      <c r="EL667" s="1447"/>
      <c r="EM667" s="1447" t="e">
        <f t="shared" si="7"/>
        <v>#VALUE!</v>
      </c>
      <c r="EN667" s="1447"/>
      <c r="EO667" s="1447"/>
      <c r="EP667" s="1447"/>
      <c r="EQ667" s="1447"/>
      <c r="ER667" s="1447" t="e">
        <f t="shared" si="8"/>
        <v>#VALUE!</v>
      </c>
      <c r="ES667" s="1447"/>
      <c r="ET667" s="1447"/>
      <c r="EU667" s="1447"/>
      <c r="EV667" s="1447"/>
      <c r="EW667" s="1447" t="e">
        <f t="shared" si="9"/>
        <v>#VALUE!</v>
      </c>
      <c r="EX667" s="1447"/>
      <c r="EY667" s="1447"/>
      <c r="EZ667" s="1447"/>
      <c r="FA667" s="1447"/>
    </row>
    <row r="668" spans="1:157" ht="12.95" customHeight="1">
      <c r="A668" s="22"/>
      <c r="B668" t="s">
        <v>85</v>
      </c>
      <c r="G668" s="1377"/>
      <c r="H668" s="1377"/>
      <c r="I668" s="1377"/>
      <c r="J668" s="1377"/>
      <c r="K668" s="1377"/>
      <c r="L668" s="1377"/>
      <c r="M668" s="1377"/>
      <c r="N668" s="1377"/>
      <c r="O668" s="1377"/>
      <c r="P668" s="1377"/>
      <c r="Q668" s="1377"/>
      <c r="R668" s="1377"/>
      <c r="T668" s="22"/>
      <c r="U668" t="s">
        <v>85</v>
      </c>
      <c r="Z668" s="1377"/>
      <c r="AA668" s="1377"/>
      <c r="AB668" s="1377"/>
      <c r="AC668" s="1377"/>
      <c r="AD668" s="1377"/>
      <c r="AE668" s="1377"/>
      <c r="AF668" s="1377"/>
      <c r="AG668" s="1377"/>
      <c r="AH668" s="1377"/>
      <c r="AI668" s="1377"/>
      <c r="AJ668" s="1377"/>
      <c r="AK668" s="1377"/>
      <c r="AZ668" s="34"/>
      <c r="BA668" s="34"/>
      <c r="BB668" s="34"/>
      <c r="BC668" s="34"/>
      <c r="BD668" s="34"/>
      <c r="BE668" s="34"/>
      <c r="BF668" s="34"/>
      <c r="BG668" s="34"/>
      <c r="BH668" s="34"/>
      <c r="BI668" s="34"/>
      <c r="BJ668" s="34"/>
      <c r="BK668" s="34"/>
      <c r="BL668" s="34"/>
      <c r="BM668" s="34"/>
      <c r="DX668" s="1447" t="e">
        <f t="shared" si="4"/>
        <v>#VALUE!</v>
      </c>
      <c r="DY668" s="1447"/>
      <c r="DZ668" s="1447"/>
      <c r="EA668" s="1447"/>
      <c r="EB668" s="1447"/>
      <c r="EC668" s="1447" t="e">
        <f t="shared" si="5"/>
        <v>#VALUE!</v>
      </c>
      <c r="ED668" s="1447"/>
      <c r="EE668" s="1447"/>
      <c r="EF668" s="1447"/>
      <c r="EG668" s="1447"/>
      <c r="EH668" s="1447" t="e">
        <f t="shared" si="6"/>
        <v>#VALUE!</v>
      </c>
      <c r="EI668" s="1447"/>
      <c r="EJ668" s="1447"/>
      <c r="EK668" s="1447"/>
      <c r="EL668" s="1447"/>
      <c r="EM668" s="1447" t="e">
        <f t="shared" si="7"/>
        <v>#VALUE!</v>
      </c>
      <c r="EN668" s="1447"/>
      <c r="EO668" s="1447"/>
      <c r="EP668" s="1447"/>
      <c r="EQ668" s="1447"/>
      <c r="ER668" s="1447" t="e">
        <f t="shared" si="8"/>
        <v>#VALUE!</v>
      </c>
      <c r="ES668" s="1447"/>
      <c r="ET668" s="1447"/>
      <c r="EU668" s="1447"/>
      <c r="EV668" s="1447"/>
      <c r="EW668" s="1447" t="e">
        <f t="shared" si="9"/>
        <v>#VALUE!</v>
      </c>
      <c r="EX668" s="1447"/>
      <c r="EY668" s="1447"/>
      <c r="EZ668" s="1447"/>
      <c r="FA668" s="1447"/>
    </row>
    <row r="669" spans="1:157" ht="12.95" customHeight="1">
      <c r="A669" s="22"/>
      <c r="B669" t="s">
        <v>579</v>
      </c>
      <c r="G669" s="1377"/>
      <c r="H669" s="1377"/>
      <c r="I669" s="1377"/>
      <c r="J669" s="1377"/>
      <c r="K669" s="1377"/>
      <c r="L669" s="1377"/>
      <c r="M669" s="1377"/>
      <c r="N669" s="1377"/>
      <c r="O669" s="1377"/>
      <c r="P669" s="1377"/>
      <c r="Q669" s="1377"/>
      <c r="R669" s="1377"/>
      <c r="T669" s="22"/>
      <c r="U669" t="s">
        <v>579</v>
      </c>
      <c r="Z669" s="1404"/>
      <c r="AA669" s="1404"/>
      <c r="AB669" s="1404"/>
      <c r="AC669" s="1404"/>
      <c r="AD669" s="1404"/>
      <c r="AE669" s="1404"/>
      <c r="AF669" s="1404"/>
      <c r="AG669" s="1404"/>
      <c r="AH669" s="1404"/>
      <c r="AI669" s="1404"/>
      <c r="AJ669" s="1404"/>
      <c r="AK669" s="1404"/>
      <c r="AZ669" s="34"/>
      <c r="BA669" s="34"/>
      <c r="BB669" s="34"/>
      <c r="BC669" s="34"/>
      <c r="BD669" s="34"/>
      <c r="BE669" s="34"/>
      <c r="BF669" s="34"/>
      <c r="BG669" s="34"/>
      <c r="BH669" s="34"/>
      <c r="BI669" s="34"/>
      <c r="BJ669" s="34"/>
      <c r="BK669" s="34"/>
      <c r="BL669" s="34"/>
      <c r="BM669" s="34"/>
      <c r="DX669" s="1447" t="e">
        <f t="shared" si="4"/>
        <v>#VALUE!</v>
      </c>
      <c r="DY669" s="1447"/>
      <c r="DZ669" s="1447"/>
      <c r="EA669" s="1447"/>
      <c r="EB669" s="1447"/>
      <c r="EC669" s="1447" t="e">
        <f t="shared" si="5"/>
        <v>#VALUE!</v>
      </c>
      <c r="ED669" s="1447"/>
      <c r="EE669" s="1447"/>
      <c r="EF669" s="1447"/>
      <c r="EG669" s="1447"/>
      <c r="EH669" s="1447" t="e">
        <f t="shared" si="6"/>
        <v>#VALUE!</v>
      </c>
      <c r="EI669" s="1447"/>
      <c r="EJ669" s="1447"/>
      <c r="EK669" s="1447"/>
      <c r="EL669" s="1447"/>
      <c r="EM669" s="1447" t="e">
        <f t="shared" si="7"/>
        <v>#VALUE!</v>
      </c>
      <c r="EN669" s="1447"/>
      <c r="EO669" s="1447"/>
      <c r="EP669" s="1447"/>
      <c r="EQ669" s="1447"/>
      <c r="ER669" s="1447" t="e">
        <f t="shared" si="8"/>
        <v>#VALUE!</v>
      </c>
      <c r="ES669" s="1447"/>
      <c r="ET669" s="1447"/>
      <c r="EU669" s="1447"/>
      <c r="EV669" s="1447"/>
      <c r="EW669" s="1447" t="e">
        <f t="shared" si="9"/>
        <v>#VALUE!</v>
      </c>
      <c r="EX669" s="1447"/>
      <c r="EY669" s="1447"/>
      <c r="EZ669" s="1447"/>
      <c r="FA669" s="1447"/>
    </row>
    <row r="670" spans="1:157" ht="12.95" customHeight="1">
      <c r="A670" s="22"/>
      <c r="B670" t="s">
        <v>17</v>
      </c>
      <c r="G670" s="1377"/>
      <c r="H670" s="1377"/>
      <c r="I670" s="1377"/>
      <c r="J670" s="1377"/>
      <c r="K670" s="1377"/>
      <c r="L670" s="1377"/>
      <c r="M670" s="1377"/>
      <c r="N670" s="1377"/>
      <c r="O670" s="1377"/>
      <c r="P670" s="1377"/>
      <c r="Q670" s="1377"/>
      <c r="R670" s="1377"/>
      <c r="T670" s="22"/>
      <c r="U670" t="s">
        <v>17</v>
      </c>
      <c r="Z670" s="1404"/>
      <c r="AA670" s="1404"/>
      <c r="AB670" s="1404"/>
      <c r="AC670" s="1404"/>
      <c r="AD670" s="1404"/>
      <c r="AE670" s="1404"/>
      <c r="AF670" s="1404"/>
      <c r="AG670" s="1404"/>
      <c r="AH670" s="1404"/>
      <c r="AI670" s="1404"/>
      <c r="AJ670" s="1404"/>
      <c r="AK670" s="1404"/>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447" t="e">
        <f t="shared" si="4"/>
        <v>#VALUE!</v>
      </c>
      <c r="DY670" s="1447"/>
      <c r="DZ670" s="1447"/>
      <c r="EA670" s="1447"/>
      <c r="EB670" s="1447"/>
      <c r="EC670" s="1447" t="e">
        <f t="shared" si="5"/>
        <v>#VALUE!</v>
      </c>
      <c r="ED670" s="1447"/>
      <c r="EE670" s="1447"/>
      <c r="EF670" s="1447"/>
      <c r="EG670" s="1447"/>
      <c r="EH670" s="1447" t="e">
        <f t="shared" si="6"/>
        <v>#VALUE!</v>
      </c>
      <c r="EI670" s="1447"/>
      <c r="EJ670" s="1447"/>
      <c r="EK670" s="1447"/>
      <c r="EL670" s="1447"/>
      <c r="EM670" s="1447" t="e">
        <f t="shared" si="7"/>
        <v>#VALUE!</v>
      </c>
      <c r="EN670" s="1447"/>
      <c r="EO670" s="1447"/>
      <c r="EP670" s="1447"/>
      <c r="EQ670" s="1447"/>
      <c r="ER670" s="1447" t="e">
        <f t="shared" si="8"/>
        <v>#VALUE!</v>
      </c>
      <c r="ES670" s="1447"/>
      <c r="ET670" s="1447"/>
      <c r="EU670" s="1447"/>
      <c r="EV670" s="1447"/>
      <c r="EW670" s="1447" t="e">
        <f t="shared" si="9"/>
        <v>#VALUE!</v>
      </c>
      <c r="EX670" s="1447"/>
      <c r="EY670" s="1447"/>
      <c r="EZ670" s="1447"/>
      <c r="FA670" s="1447"/>
    </row>
    <row r="671" spans="1:157" ht="12.95" customHeight="1">
      <c r="A671" s="22"/>
      <c r="B671" t="s">
        <v>316</v>
      </c>
      <c r="G671" s="1405"/>
      <c r="H671" s="1405"/>
      <c r="I671" s="1405"/>
      <c r="J671" s="1405"/>
      <c r="K671" s="1405"/>
      <c r="L671" s="1405"/>
      <c r="O671" s="33" t="s">
        <v>206</v>
      </c>
      <c r="P671" s="1369"/>
      <c r="Q671" s="1369"/>
      <c r="R671" s="1369"/>
      <c r="T671" s="22"/>
      <c r="U671" t="s">
        <v>316</v>
      </c>
      <c r="Z671" s="1405"/>
      <c r="AA671" s="1405"/>
      <c r="AB671" s="1405"/>
      <c r="AC671" s="1405"/>
      <c r="AD671" s="1405"/>
      <c r="AE671" s="1405"/>
      <c r="AH671" s="33" t="s">
        <v>206</v>
      </c>
      <c r="AI671" s="1369"/>
      <c r="AJ671" s="1369"/>
      <c r="AK671" s="1369"/>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447" t="e">
        <f t="shared" si="4"/>
        <v>#VALUE!</v>
      </c>
      <c r="DY671" s="1447"/>
      <c r="DZ671" s="1447"/>
      <c r="EA671" s="1447"/>
      <c r="EB671" s="1447"/>
      <c r="EC671" s="1447" t="e">
        <f t="shared" si="5"/>
        <v>#VALUE!</v>
      </c>
      <c r="ED671" s="1447"/>
      <c r="EE671" s="1447"/>
      <c r="EF671" s="1447"/>
      <c r="EG671" s="1447"/>
      <c r="EH671" s="1447" t="e">
        <f t="shared" si="6"/>
        <v>#VALUE!</v>
      </c>
      <c r="EI671" s="1447"/>
      <c r="EJ671" s="1447"/>
      <c r="EK671" s="1447"/>
      <c r="EL671" s="1447"/>
      <c r="EM671" s="1447" t="e">
        <f t="shared" si="7"/>
        <v>#VALUE!</v>
      </c>
      <c r="EN671" s="1447"/>
      <c r="EO671" s="1447"/>
      <c r="EP671" s="1447"/>
      <c r="EQ671" s="1447"/>
      <c r="ER671" s="1447" t="e">
        <f t="shared" si="8"/>
        <v>#VALUE!</v>
      </c>
      <c r="ES671" s="1447"/>
      <c r="ET671" s="1447"/>
      <c r="EU671" s="1447"/>
      <c r="EV671" s="1447"/>
      <c r="EW671" s="1447" t="e">
        <f t="shared" si="9"/>
        <v>#VALUE!</v>
      </c>
      <c r="EX671" s="1447"/>
      <c r="EY671" s="1447"/>
      <c r="EZ671" s="1447"/>
      <c r="FA671" s="1447"/>
    </row>
    <row r="672" spans="1:157" ht="12.95" customHeight="1">
      <c r="A672" s="22"/>
      <c r="B672" t="s">
        <v>18</v>
      </c>
      <c r="H672" s="1377"/>
      <c r="I672" s="1377"/>
      <c r="J672" s="1377"/>
      <c r="K672" s="1377"/>
      <c r="L672" s="1377"/>
      <c r="M672" s="1377"/>
      <c r="N672" s="1377"/>
      <c r="O672" s="1377"/>
      <c r="P672" s="1377"/>
      <c r="Q672" s="1377"/>
      <c r="R672" s="1377"/>
      <c r="T672" s="22"/>
      <c r="U672" t="s">
        <v>18</v>
      </c>
      <c r="AA672" s="1377"/>
      <c r="AB672" s="1377"/>
      <c r="AC672" s="1377"/>
      <c r="AD672" s="1377"/>
      <c r="AE672" s="1377"/>
      <c r="AF672" s="1377"/>
      <c r="AG672" s="1377"/>
      <c r="AH672" s="1377"/>
      <c r="AI672" s="1377"/>
      <c r="AJ672" s="1377"/>
      <c r="AK672" s="1377"/>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447" t="e">
        <f t="shared" si="4"/>
        <v>#VALUE!</v>
      </c>
      <c r="DY672" s="1447"/>
      <c r="DZ672" s="1447"/>
      <c r="EA672" s="1447"/>
      <c r="EB672" s="1447"/>
      <c r="EC672" s="1447" t="e">
        <f t="shared" si="5"/>
        <v>#VALUE!</v>
      </c>
      <c r="ED672" s="1447"/>
      <c r="EE672" s="1447"/>
      <c r="EF672" s="1447"/>
      <c r="EG672" s="1447"/>
      <c r="EH672" s="1447" t="e">
        <f t="shared" si="6"/>
        <v>#VALUE!</v>
      </c>
      <c r="EI672" s="1447"/>
      <c r="EJ672" s="1447"/>
      <c r="EK672" s="1447"/>
      <c r="EL672" s="1447"/>
      <c r="EM672" s="1447" t="e">
        <f t="shared" si="7"/>
        <v>#VALUE!</v>
      </c>
      <c r="EN672" s="1447"/>
      <c r="EO672" s="1447"/>
      <c r="EP672" s="1447"/>
      <c r="EQ672" s="1447"/>
      <c r="ER672" s="1447" t="e">
        <f t="shared" si="8"/>
        <v>#VALUE!</v>
      </c>
      <c r="ES672" s="1447"/>
      <c r="ET672" s="1447"/>
      <c r="EU672" s="1447"/>
      <c r="EV672" s="1447"/>
      <c r="EW672" s="1447" t="e">
        <f t="shared" si="9"/>
        <v>#VALUE!</v>
      </c>
      <c r="EX672" s="1447"/>
      <c r="EY672" s="1447"/>
      <c r="EZ672" s="1447"/>
      <c r="FA672" s="1447"/>
    </row>
    <row r="673" spans="1:157" ht="12.95" customHeight="1">
      <c r="A673" s="22"/>
      <c r="B673" t="s">
        <v>20</v>
      </c>
      <c r="N673" s="1269" t="s">
        <v>668</v>
      </c>
      <c r="O673" s="1269"/>
      <c r="T673" s="22"/>
      <c r="U673" t="s">
        <v>20</v>
      </c>
      <c r="AG673" s="1269" t="s">
        <v>668</v>
      </c>
      <c r="AH673" s="126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447" t="e">
        <f t="shared" si="4"/>
        <v>#VALUE!</v>
      </c>
      <c r="DY673" s="1447"/>
      <c r="DZ673" s="1447"/>
      <c r="EA673" s="1447"/>
      <c r="EB673" s="1447"/>
      <c r="EC673" s="1447" t="e">
        <f t="shared" si="5"/>
        <v>#VALUE!</v>
      </c>
      <c r="ED673" s="1447"/>
      <c r="EE673" s="1447"/>
      <c r="EF673" s="1447"/>
      <c r="EG673" s="1447"/>
      <c r="EH673" s="1447" t="e">
        <f t="shared" si="6"/>
        <v>#VALUE!</v>
      </c>
      <c r="EI673" s="1447"/>
      <c r="EJ673" s="1447"/>
      <c r="EK673" s="1447"/>
      <c r="EL673" s="1447"/>
      <c r="EM673" s="1447" t="e">
        <f t="shared" si="7"/>
        <v>#VALUE!</v>
      </c>
      <c r="EN673" s="1447"/>
      <c r="EO673" s="1447"/>
      <c r="EP673" s="1447"/>
      <c r="EQ673" s="1447"/>
      <c r="ER673" s="1447" t="e">
        <f t="shared" si="8"/>
        <v>#VALUE!</v>
      </c>
      <c r="ES673" s="1447"/>
      <c r="ET673" s="1447"/>
      <c r="EU673" s="1447"/>
      <c r="EV673" s="1447"/>
      <c r="EW673" s="1447" t="e">
        <f t="shared" si="9"/>
        <v>#VALUE!</v>
      </c>
      <c r="EX673" s="1447"/>
      <c r="EY673" s="1447"/>
      <c r="EZ673" s="1447"/>
      <c r="FA673" s="1447"/>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447" t="e">
        <f t="shared" si="4"/>
        <v>#VALUE!</v>
      </c>
      <c r="DY674" s="1447"/>
      <c r="DZ674" s="1447"/>
      <c r="EA674" s="1447"/>
      <c r="EB674" s="1447"/>
      <c r="EC674" s="1447" t="e">
        <f t="shared" si="5"/>
        <v>#VALUE!</v>
      </c>
      <c r="ED674" s="1447"/>
      <c r="EE674" s="1447"/>
      <c r="EF674" s="1447"/>
      <c r="EG674" s="1447"/>
      <c r="EH674" s="1447" t="e">
        <f t="shared" si="6"/>
        <v>#VALUE!</v>
      </c>
      <c r="EI674" s="1447"/>
      <c r="EJ674" s="1447"/>
      <c r="EK674" s="1447"/>
      <c r="EL674" s="1447"/>
      <c r="EM674" s="1447" t="e">
        <f t="shared" si="7"/>
        <v>#VALUE!</v>
      </c>
      <c r="EN674" s="1447"/>
      <c r="EO674" s="1447"/>
      <c r="EP674" s="1447"/>
      <c r="EQ674" s="1447"/>
      <c r="ER674" s="1447" t="e">
        <f t="shared" si="8"/>
        <v>#VALUE!</v>
      </c>
      <c r="ES674" s="1447"/>
      <c r="ET674" s="1447"/>
      <c r="EU674" s="1447"/>
      <c r="EV674" s="1447"/>
      <c r="EW674" s="1447" t="e">
        <f t="shared" si="9"/>
        <v>#VALUE!</v>
      </c>
      <c r="EX674" s="1447"/>
      <c r="EY674" s="1447"/>
      <c r="EZ674" s="1447"/>
      <c r="FA674" s="1447"/>
    </row>
    <row r="675" spans="1:157" ht="12.95" customHeight="1">
      <c r="A675" s="55" t="s">
        <v>454</v>
      </c>
      <c r="B675" t="s">
        <v>462</v>
      </c>
      <c r="G675" s="1376">
        <f>C641</f>
        <v>0</v>
      </c>
      <c r="H675" s="1376"/>
      <c r="I675" s="1376"/>
      <c r="J675" s="1376"/>
      <c r="K675" s="1376"/>
      <c r="L675" s="1376"/>
      <c r="M675" s="1376"/>
      <c r="N675" s="1376"/>
      <c r="O675" s="1376"/>
      <c r="P675" s="1376"/>
      <c r="Q675" s="1376"/>
      <c r="R675" s="1376"/>
      <c r="T675" s="55" t="s">
        <v>455</v>
      </c>
      <c r="U675" t="s">
        <v>462</v>
      </c>
      <c r="Z675" s="1376">
        <f>C642</f>
        <v>0</v>
      </c>
      <c r="AA675" s="1376"/>
      <c r="AB675" s="1376"/>
      <c r="AC675" s="1376"/>
      <c r="AD675" s="1376"/>
      <c r="AE675" s="1376"/>
      <c r="AF675" s="1376"/>
      <c r="AG675" s="1376"/>
      <c r="AH675" s="1376"/>
      <c r="AI675" s="1376"/>
      <c r="AJ675" s="1376"/>
      <c r="AK675" s="1376"/>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447" t="e">
        <f t="shared" si="4"/>
        <v>#VALUE!</v>
      </c>
      <c r="DY675" s="1447"/>
      <c r="DZ675" s="1447"/>
      <c r="EA675" s="1447"/>
      <c r="EB675" s="1447"/>
      <c r="EC675" s="1447" t="e">
        <f t="shared" si="5"/>
        <v>#VALUE!</v>
      </c>
      <c r="ED675" s="1447"/>
      <c r="EE675" s="1447"/>
      <c r="EF675" s="1447"/>
      <c r="EG675" s="1447"/>
      <c r="EH675" s="1447" t="e">
        <f t="shared" si="6"/>
        <v>#VALUE!</v>
      </c>
      <c r="EI675" s="1447"/>
      <c r="EJ675" s="1447"/>
      <c r="EK675" s="1447"/>
      <c r="EL675" s="1447"/>
      <c r="EM675" s="1447" t="e">
        <f t="shared" si="7"/>
        <v>#VALUE!</v>
      </c>
      <c r="EN675" s="1447"/>
      <c r="EO675" s="1447"/>
      <c r="EP675" s="1447"/>
      <c r="EQ675" s="1447"/>
      <c r="ER675" s="1447" t="e">
        <f t="shared" si="8"/>
        <v>#VALUE!</v>
      </c>
      <c r="ES675" s="1447"/>
      <c r="ET675" s="1447"/>
      <c r="EU675" s="1447"/>
      <c r="EV675" s="1447"/>
      <c r="EW675" s="1447" t="e">
        <f t="shared" si="9"/>
        <v>#VALUE!</v>
      </c>
      <c r="EX675" s="1447"/>
      <c r="EY675" s="1447"/>
      <c r="EZ675" s="1447"/>
      <c r="FA675" s="1447"/>
    </row>
    <row r="676" spans="1:157" ht="12.95" customHeight="1">
      <c r="A676" s="22"/>
      <c r="B676" t="s">
        <v>85</v>
      </c>
      <c r="G676" s="1377"/>
      <c r="H676" s="1377"/>
      <c r="I676" s="1377"/>
      <c r="J676" s="1377"/>
      <c r="K676" s="1377"/>
      <c r="L676" s="1377"/>
      <c r="M676" s="1377"/>
      <c r="N676" s="1377"/>
      <c r="O676" s="1377"/>
      <c r="P676" s="1377"/>
      <c r="Q676" s="1377"/>
      <c r="R676" s="1377"/>
      <c r="T676" s="22"/>
      <c r="U676" t="s">
        <v>85</v>
      </c>
      <c r="Z676" s="1377"/>
      <c r="AA676" s="1377"/>
      <c r="AB676" s="1377"/>
      <c r="AC676" s="1377"/>
      <c r="AD676" s="1377"/>
      <c r="AE676" s="1377"/>
      <c r="AF676" s="1377"/>
      <c r="AG676" s="1377"/>
      <c r="AH676" s="1377"/>
      <c r="AI676" s="1377"/>
      <c r="AJ676" s="1377"/>
      <c r="AK676" s="1377"/>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447" t="e">
        <f t="shared" si="4"/>
        <v>#VALUE!</v>
      </c>
      <c r="DY676" s="1447"/>
      <c r="DZ676" s="1447"/>
      <c r="EA676" s="1447"/>
      <c r="EB676" s="1447"/>
      <c r="EC676" s="1447" t="e">
        <f t="shared" si="5"/>
        <v>#VALUE!</v>
      </c>
      <c r="ED676" s="1447"/>
      <c r="EE676" s="1447"/>
      <c r="EF676" s="1447"/>
      <c r="EG676" s="1447"/>
      <c r="EH676" s="1447" t="e">
        <f t="shared" si="6"/>
        <v>#VALUE!</v>
      </c>
      <c r="EI676" s="1447"/>
      <c r="EJ676" s="1447"/>
      <c r="EK676" s="1447"/>
      <c r="EL676" s="1447"/>
      <c r="EM676" s="1447" t="e">
        <f t="shared" si="7"/>
        <v>#VALUE!</v>
      </c>
      <c r="EN676" s="1447"/>
      <c r="EO676" s="1447"/>
      <c r="EP676" s="1447"/>
      <c r="EQ676" s="1447"/>
      <c r="ER676" s="1447" t="e">
        <f t="shared" si="8"/>
        <v>#VALUE!</v>
      </c>
      <c r="ES676" s="1447"/>
      <c r="ET676" s="1447"/>
      <c r="EU676" s="1447"/>
      <c r="EV676" s="1447"/>
      <c r="EW676" s="1447" t="e">
        <f t="shared" si="9"/>
        <v>#VALUE!</v>
      </c>
      <c r="EX676" s="1447"/>
      <c r="EY676" s="1447"/>
      <c r="EZ676" s="1447"/>
      <c r="FA676" s="1447"/>
    </row>
    <row r="677" spans="1:157" ht="12.95" customHeight="1">
      <c r="A677" s="22"/>
      <c r="B677" t="s">
        <v>579</v>
      </c>
      <c r="G677" s="1377"/>
      <c r="H677" s="1377"/>
      <c r="I677" s="1377"/>
      <c r="J677" s="1377"/>
      <c r="K677" s="1377"/>
      <c r="L677" s="1377"/>
      <c r="M677" s="1377"/>
      <c r="N677" s="1377"/>
      <c r="O677" s="1377"/>
      <c r="P677" s="1377"/>
      <c r="Q677" s="1377"/>
      <c r="R677" s="1377"/>
      <c r="T677" s="22"/>
      <c r="U677" t="s">
        <v>579</v>
      </c>
      <c r="Z677" s="1404"/>
      <c r="AA677" s="1404"/>
      <c r="AB677" s="1404"/>
      <c r="AC677" s="1404"/>
      <c r="AD677" s="1404"/>
      <c r="AE677" s="1404"/>
      <c r="AF677" s="1404"/>
      <c r="AG677" s="1404"/>
      <c r="AH677" s="1404"/>
      <c r="AI677" s="1404"/>
      <c r="AJ677" s="1404"/>
      <c r="AK677" s="1404"/>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447" t="e">
        <f t="shared" si="4"/>
        <v>#VALUE!</v>
      </c>
      <c r="DY677" s="1447"/>
      <c r="DZ677" s="1447"/>
      <c r="EA677" s="1447"/>
      <c r="EB677" s="1447"/>
      <c r="EC677" s="1447" t="e">
        <f t="shared" si="5"/>
        <v>#VALUE!</v>
      </c>
      <c r="ED677" s="1447"/>
      <c r="EE677" s="1447"/>
      <c r="EF677" s="1447"/>
      <c r="EG677" s="1447"/>
      <c r="EH677" s="1447" t="e">
        <f t="shared" si="6"/>
        <v>#VALUE!</v>
      </c>
      <c r="EI677" s="1447"/>
      <c r="EJ677" s="1447"/>
      <c r="EK677" s="1447"/>
      <c r="EL677" s="1447"/>
      <c r="EM677" s="1447" t="e">
        <f t="shared" si="7"/>
        <v>#VALUE!</v>
      </c>
      <c r="EN677" s="1447"/>
      <c r="EO677" s="1447"/>
      <c r="EP677" s="1447"/>
      <c r="EQ677" s="1447"/>
      <c r="ER677" s="1447" t="e">
        <f t="shared" si="8"/>
        <v>#VALUE!</v>
      </c>
      <c r="ES677" s="1447"/>
      <c r="ET677" s="1447"/>
      <c r="EU677" s="1447"/>
      <c r="EV677" s="1447"/>
      <c r="EW677" s="1447" t="e">
        <f t="shared" si="9"/>
        <v>#VALUE!</v>
      </c>
      <c r="EX677" s="1447"/>
      <c r="EY677" s="1447"/>
      <c r="EZ677" s="1447"/>
      <c r="FA677" s="1447"/>
    </row>
    <row r="678" spans="1:157" ht="12.95" customHeight="1">
      <c r="A678" s="22"/>
      <c r="B678" t="s">
        <v>17</v>
      </c>
      <c r="G678" s="1377"/>
      <c r="H678" s="1377"/>
      <c r="I678" s="1377"/>
      <c r="J678" s="1377"/>
      <c r="K678" s="1377"/>
      <c r="L678" s="1377"/>
      <c r="M678" s="1377"/>
      <c r="N678" s="1377"/>
      <c r="O678" s="1377"/>
      <c r="P678" s="1377"/>
      <c r="Q678" s="1377"/>
      <c r="R678" s="1377"/>
      <c r="T678" s="22"/>
      <c r="U678" t="s">
        <v>17</v>
      </c>
      <c r="Z678" s="1404"/>
      <c r="AA678" s="1404"/>
      <c r="AB678" s="1404"/>
      <c r="AC678" s="1404"/>
      <c r="AD678" s="1404"/>
      <c r="AE678" s="1404"/>
      <c r="AF678" s="1404"/>
      <c r="AG678" s="1404"/>
      <c r="AH678" s="1404"/>
      <c r="AI678" s="1404"/>
      <c r="AJ678" s="1404"/>
      <c r="AK678" s="1404"/>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447">
        <f>SUMIF(DX643:EB677,"&gt;0")</f>
        <v>1295.5</v>
      </c>
      <c r="DY678" s="1447"/>
      <c r="DZ678" s="1447"/>
      <c r="EA678" s="1447"/>
      <c r="EB678" s="1447"/>
      <c r="EC678" s="1447">
        <f>SUMIF(EC643:EG677,"&gt;0")</f>
        <v>1524.8607594936709</v>
      </c>
      <c r="ED678" s="1447"/>
      <c r="EE678" s="1447"/>
      <c r="EF678" s="1447"/>
      <c r="EG678" s="1447"/>
      <c r="EH678" s="1447">
        <f>SUMIF(EH643:EL677,"&gt;0")</f>
        <v>1860.05</v>
      </c>
      <c r="EI678" s="1447"/>
      <c r="EJ678" s="1447"/>
      <c r="EK678" s="1447"/>
      <c r="EL678" s="1447"/>
      <c r="EM678" s="1447">
        <f>SUMIF(EM643:EQ677,"&gt;0")</f>
        <v>0</v>
      </c>
      <c r="EN678" s="1447"/>
      <c r="EO678" s="1447"/>
      <c r="EP678" s="1447"/>
      <c r="EQ678" s="1447"/>
      <c r="ER678" s="1447">
        <f>SUMIF(ER643:EV677,"&gt;0")</f>
        <v>0</v>
      </c>
      <c r="ES678" s="1447"/>
      <c r="ET678" s="1447"/>
      <c r="EU678" s="1447"/>
      <c r="EV678" s="1447"/>
      <c r="EW678" s="1447">
        <f>SUMIF(EW643:FA677,"&gt;0")</f>
        <v>0</v>
      </c>
      <c r="EX678" s="1447"/>
      <c r="EY678" s="1447"/>
      <c r="EZ678" s="1447"/>
      <c r="FA678" s="1447"/>
    </row>
    <row r="679" spans="1:157" ht="12.95" customHeight="1">
      <c r="A679" s="22"/>
      <c r="B679" t="s">
        <v>316</v>
      </c>
      <c r="G679" s="1405"/>
      <c r="H679" s="1405"/>
      <c r="I679" s="1405"/>
      <c r="J679" s="1405"/>
      <c r="K679" s="1405"/>
      <c r="L679" s="1405"/>
      <c r="O679" s="33" t="s">
        <v>206</v>
      </c>
      <c r="P679" s="1369"/>
      <c r="Q679" s="1369"/>
      <c r="R679" s="1369"/>
      <c r="T679" s="22"/>
      <c r="U679" t="s">
        <v>316</v>
      </c>
      <c r="Z679" s="1405"/>
      <c r="AA679" s="1405"/>
      <c r="AB679" s="1405"/>
      <c r="AC679" s="1405"/>
      <c r="AD679" s="1405"/>
      <c r="AE679" s="1405"/>
      <c r="AH679" s="33" t="s">
        <v>206</v>
      </c>
      <c r="AI679" s="1369"/>
      <c r="AJ679" s="1369"/>
      <c r="AK679" s="1369"/>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377"/>
      <c r="I680" s="1377"/>
      <c r="J680" s="1377"/>
      <c r="K680" s="1377"/>
      <c r="L680" s="1377"/>
      <c r="M680" s="1377"/>
      <c r="N680" s="1377"/>
      <c r="O680" s="1377"/>
      <c r="P680" s="1377"/>
      <c r="Q680" s="1377"/>
      <c r="R680" s="1377"/>
      <c r="T680" s="22"/>
      <c r="U680" t="s">
        <v>18</v>
      </c>
      <c r="AA680" s="1377"/>
      <c r="AB680" s="1377"/>
      <c r="AC680" s="1377"/>
      <c r="AD680" s="1377"/>
      <c r="AE680" s="1377"/>
      <c r="AF680" s="1377"/>
      <c r="AG680" s="1377"/>
      <c r="AH680" s="1377"/>
      <c r="AI680" s="1377"/>
      <c r="AJ680" s="1377"/>
      <c r="AK680" s="1377"/>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269" t="s">
        <v>668</v>
      </c>
      <c r="O681" s="1269"/>
      <c r="T681" s="22"/>
      <c r="U681" t="s">
        <v>20</v>
      </c>
      <c r="AG681" s="1269" t="s">
        <v>668</v>
      </c>
      <c r="AH681" s="1269"/>
      <c r="AZ681" s="3"/>
    </row>
    <row r="682" spans="1:157" ht="12.95" customHeight="1">
      <c r="A682" s="22"/>
      <c r="T682" s="22"/>
      <c r="AZ682" s="3"/>
    </row>
    <row r="683" spans="1:157" ht="12.95" customHeight="1">
      <c r="A683" s="55" t="s">
        <v>460</v>
      </c>
      <c r="B683" t="s">
        <v>462</v>
      </c>
      <c r="G683" s="1376">
        <f>C643</f>
        <v>0</v>
      </c>
      <c r="H683" s="1376"/>
      <c r="I683" s="1376"/>
      <c r="J683" s="1376"/>
      <c r="K683" s="1376"/>
      <c r="L683" s="1376"/>
      <c r="M683" s="1376"/>
      <c r="N683" s="1376"/>
      <c r="O683" s="1376"/>
      <c r="P683" s="1376"/>
      <c r="Q683" s="1376"/>
      <c r="R683" s="1376"/>
      <c r="T683" s="55" t="s">
        <v>645</v>
      </c>
      <c r="U683" t="s">
        <v>462</v>
      </c>
      <c r="Z683" s="1376">
        <f>C644</f>
        <v>0</v>
      </c>
      <c r="AA683" s="1376"/>
      <c r="AB683" s="1376"/>
      <c r="AC683" s="1376"/>
      <c r="AD683" s="1376"/>
      <c r="AE683" s="1376"/>
      <c r="AF683" s="1376"/>
      <c r="AG683" s="1376"/>
      <c r="AH683" s="1376"/>
      <c r="AI683" s="1376"/>
      <c r="AJ683" s="1376"/>
      <c r="AK683" s="1376"/>
      <c r="AZ683" s="3"/>
    </row>
    <row r="684" spans="1:157" ht="12.95" customHeight="1">
      <c r="A684" s="22"/>
      <c r="B684" t="s">
        <v>85</v>
      </c>
      <c r="G684" s="1377"/>
      <c r="H684" s="1377"/>
      <c r="I684" s="1377"/>
      <c r="J684" s="1377"/>
      <c r="K684" s="1377"/>
      <c r="L684" s="1377"/>
      <c r="M684" s="1377"/>
      <c r="N684" s="1377"/>
      <c r="O684" s="1377"/>
      <c r="P684" s="1377"/>
      <c r="Q684" s="1377"/>
      <c r="R684" s="1377"/>
      <c r="T684" s="22"/>
      <c r="U684" t="s">
        <v>85</v>
      </c>
      <c r="Z684" s="1377"/>
      <c r="AA684" s="1377"/>
      <c r="AB684" s="1377"/>
      <c r="AC684" s="1377"/>
      <c r="AD684" s="1377"/>
      <c r="AE684" s="1377"/>
      <c r="AF684" s="1377"/>
      <c r="AG684" s="1377"/>
      <c r="AH684" s="1377"/>
      <c r="AI684" s="1377"/>
      <c r="AJ684" s="1377"/>
      <c r="AK684" s="1377"/>
      <c r="AZ684" s="3"/>
    </row>
    <row r="685" spans="1:157" ht="12.95" customHeight="1">
      <c r="A685" s="22"/>
      <c r="B685" t="s">
        <v>579</v>
      </c>
      <c r="G685" s="1377"/>
      <c r="H685" s="1377"/>
      <c r="I685" s="1377"/>
      <c r="J685" s="1377"/>
      <c r="K685" s="1377"/>
      <c r="L685" s="1377"/>
      <c r="M685" s="1377"/>
      <c r="N685" s="1377"/>
      <c r="O685" s="1377"/>
      <c r="P685" s="1377"/>
      <c r="Q685" s="1377"/>
      <c r="R685" s="1377"/>
      <c r="T685" s="22"/>
      <c r="U685" t="s">
        <v>579</v>
      </c>
      <c r="Z685" s="1404"/>
      <c r="AA685" s="1404"/>
      <c r="AB685" s="1404"/>
      <c r="AC685" s="1404"/>
      <c r="AD685" s="1404"/>
      <c r="AE685" s="1404"/>
      <c r="AF685" s="1404"/>
      <c r="AG685" s="1404"/>
      <c r="AH685" s="1404"/>
      <c r="AI685" s="1404"/>
      <c r="AJ685" s="1404"/>
      <c r="AK685" s="1404"/>
      <c r="AZ685" s="3"/>
    </row>
    <row r="686" spans="1:157" ht="12.95" customHeight="1">
      <c r="A686" s="22"/>
      <c r="B686" t="s">
        <v>17</v>
      </c>
      <c r="G686" s="1377"/>
      <c r="H686" s="1377"/>
      <c r="I686" s="1377"/>
      <c r="J686" s="1377"/>
      <c r="K686" s="1377"/>
      <c r="L686" s="1377"/>
      <c r="M686" s="1377"/>
      <c r="N686" s="1377"/>
      <c r="O686" s="1377"/>
      <c r="P686" s="1377"/>
      <c r="Q686" s="1377"/>
      <c r="R686" s="1377"/>
      <c r="T686" s="22"/>
      <c r="U686" t="s">
        <v>17</v>
      </c>
      <c r="Z686" s="1404"/>
      <c r="AA686" s="1404"/>
      <c r="AB686" s="1404"/>
      <c r="AC686" s="1404"/>
      <c r="AD686" s="1404"/>
      <c r="AE686" s="1404"/>
      <c r="AF686" s="1404"/>
      <c r="AG686" s="1404"/>
      <c r="AH686" s="1404"/>
      <c r="AI686" s="1404"/>
      <c r="AJ686" s="1404"/>
      <c r="AK686" s="1404"/>
      <c r="AZ686" s="3"/>
    </row>
    <row r="687" spans="1:157" ht="12.95" customHeight="1">
      <c r="A687" s="22"/>
      <c r="B687" t="s">
        <v>316</v>
      </c>
      <c r="G687" s="1405"/>
      <c r="H687" s="1405"/>
      <c r="I687" s="1405"/>
      <c r="J687" s="1405"/>
      <c r="K687" s="1405"/>
      <c r="L687" s="1405"/>
      <c r="O687" s="33" t="s">
        <v>206</v>
      </c>
      <c r="P687" s="1369"/>
      <c r="Q687" s="1369"/>
      <c r="R687" s="1369"/>
      <c r="T687" s="22"/>
      <c r="U687" t="s">
        <v>316</v>
      </c>
      <c r="Z687" s="1405"/>
      <c r="AA687" s="1405"/>
      <c r="AB687" s="1405"/>
      <c r="AC687" s="1405"/>
      <c r="AD687" s="1405"/>
      <c r="AE687" s="1405"/>
      <c r="AH687" s="33" t="s">
        <v>206</v>
      </c>
      <c r="AI687" s="1369"/>
      <c r="AJ687" s="1369"/>
      <c r="AK687" s="1369"/>
      <c r="AZ687" s="3"/>
    </row>
    <row r="688" spans="1:157" ht="12.95" customHeight="1">
      <c r="A688" s="22"/>
      <c r="B688" t="s">
        <v>18</v>
      </c>
      <c r="H688" s="1377"/>
      <c r="I688" s="1377"/>
      <c r="J688" s="1377"/>
      <c r="K688" s="1377"/>
      <c r="L688" s="1377"/>
      <c r="M688" s="1377"/>
      <c r="N688" s="1377"/>
      <c r="O688" s="1377"/>
      <c r="P688" s="1377"/>
      <c r="Q688" s="1377"/>
      <c r="R688" s="1377"/>
      <c r="T688" s="22"/>
      <c r="U688" t="s">
        <v>18</v>
      </c>
      <c r="AA688" s="1377"/>
      <c r="AB688" s="1377"/>
      <c r="AC688" s="1377"/>
      <c r="AD688" s="1377"/>
      <c r="AE688" s="1377"/>
      <c r="AF688" s="1377"/>
      <c r="AG688" s="1377"/>
      <c r="AH688" s="1377"/>
      <c r="AI688" s="1377"/>
      <c r="AJ688" s="1377"/>
      <c r="AK688" s="1377"/>
      <c r="AZ688" s="3"/>
    </row>
    <row r="689" spans="1:52" ht="12.95" customHeight="1">
      <c r="A689" s="22"/>
      <c r="B689" t="s">
        <v>20</v>
      </c>
      <c r="N689" s="1269" t="s">
        <v>668</v>
      </c>
      <c r="O689" s="1269"/>
      <c r="T689" s="22"/>
      <c r="U689" t="s">
        <v>20</v>
      </c>
      <c r="AG689" s="1269" t="s">
        <v>668</v>
      </c>
      <c r="AH689" s="1269"/>
      <c r="AZ689" s="3"/>
    </row>
    <row r="690" spans="1:52" ht="12.95" customHeight="1">
      <c r="A690" s="22"/>
      <c r="T690" s="22"/>
      <c r="AZ690" s="3"/>
    </row>
    <row r="691" spans="1:52" ht="12.95" customHeight="1">
      <c r="A691" s="55" t="s">
        <v>362</v>
      </c>
      <c r="B691" t="s">
        <v>462</v>
      </c>
      <c r="G691" s="1376">
        <f>C645</f>
        <v>0</v>
      </c>
      <c r="H691" s="1376"/>
      <c r="I691" s="1376"/>
      <c r="J691" s="1376"/>
      <c r="K691" s="1376"/>
      <c r="L691" s="1376"/>
      <c r="M691" s="1376"/>
      <c r="N691" s="1376"/>
      <c r="O691" s="1376"/>
      <c r="P691" s="1376"/>
      <c r="Q691" s="1376"/>
      <c r="R691" s="1376"/>
      <c r="T691" s="55" t="s">
        <v>363</v>
      </c>
      <c r="U691" t="s">
        <v>462</v>
      </c>
      <c r="Z691" s="1376">
        <f>C646</f>
        <v>0</v>
      </c>
      <c r="AA691" s="1376"/>
      <c r="AB691" s="1376"/>
      <c r="AC691" s="1376"/>
      <c r="AD691" s="1376"/>
      <c r="AE691" s="1376"/>
      <c r="AF691" s="1376"/>
      <c r="AG691" s="1376"/>
      <c r="AH691" s="1376"/>
      <c r="AI691" s="1376"/>
      <c r="AJ691" s="1376"/>
      <c r="AK691" s="1376"/>
      <c r="AZ691" s="3"/>
    </row>
    <row r="692" spans="1:52" ht="12.95" customHeight="1">
      <c r="B692" t="s">
        <v>85</v>
      </c>
      <c r="G692" s="1377"/>
      <c r="H692" s="1377"/>
      <c r="I692" s="1377"/>
      <c r="J692" s="1377"/>
      <c r="K692" s="1377"/>
      <c r="L692" s="1377"/>
      <c r="M692" s="1377"/>
      <c r="N692" s="1377"/>
      <c r="O692" s="1377"/>
      <c r="P692" s="1377"/>
      <c r="Q692" s="1377"/>
      <c r="R692" s="1377"/>
      <c r="T692" s="22"/>
      <c r="U692" t="s">
        <v>85</v>
      </c>
      <c r="Z692" s="1377"/>
      <c r="AA692" s="1377"/>
      <c r="AB692" s="1377"/>
      <c r="AC692" s="1377"/>
      <c r="AD692" s="1377"/>
      <c r="AE692" s="1377"/>
      <c r="AF692" s="1377"/>
      <c r="AG692" s="1377"/>
      <c r="AH692" s="1377"/>
      <c r="AI692" s="1377"/>
      <c r="AJ692" s="1377"/>
      <c r="AK692" s="1377"/>
      <c r="AZ692" s="3"/>
    </row>
    <row r="693" spans="1:52" ht="12.95" customHeight="1">
      <c r="B693" t="s">
        <v>579</v>
      </c>
      <c r="G693" s="1377"/>
      <c r="H693" s="1377"/>
      <c r="I693" s="1377"/>
      <c r="J693" s="1377"/>
      <c r="K693" s="1377"/>
      <c r="L693" s="1377"/>
      <c r="M693" s="1377"/>
      <c r="N693" s="1377"/>
      <c r="O693" s="1377"/>
      <c r="P693" s="1377"/>
      <c r="Q693" s="1377"/>
      <c r="R693" s="1377"/>
      <c r="U693" t="s">
        <v>579</v>
      </c>
      <c r="Z693" s="1404"/>
      <c r="AA693" s="1404"/>
      <c r="AB693" s="1404"/>
      <c r="AC693" s="1404"/>
      <c r="AD693" s="1404"/>
      <c r="AE693" s="1404"/>
      <c r="AF693" s="1404"/>
      <c r="AG693" s="1404"/>
      <c r="AH693" s="1404"/>
      <c r="AI693" s="1404"/>
      <c r="AJ693" s="1404"/>
      <c r="AK693" s="1404"/>
      <c r="AZ693" s="3"/>
    </row>
    <row r="694" spans="1:52" ht="12.95" customHeight="1">
      <c r="B694" t="s">
        <v>17</v>
      </c>
      <c r="G694" s="1377"/>
      <c r="H694" s="1377"/>
      <c r="I694" s="1377"/>
      <c r="J694" s="1377"/>
      <c r="K694" s="1377"/>
      <c r="L694" s="1377"/>
      <c r="M694" s="1377"/>
      <c r="N694" s="1377"/>
      <c r="O694" s="1377"/>
      <c r="P694" s="1377"/>
      <c r="Q694" s="1377"/>
      <c r="R694" s="1377"/>
      <c r="U694" t="s">
        <v>17</v>
      </c>
      <c r="Z694" s="1404"/>
      <c r="AA694" s="1404"/>
      <c r="AB694" s="1404"/>
      <c r="AC694" s="1404"/>
      <c r="AD694" s="1404"/>
      <c r="AE694" s="1404"/>
      <c r="AF694" s="1404"/>
      <c r="AG694" s="1404"/>
      <c r="AH694" s="1404"/>
      <c r="AI694" s="1404"/>
      <c r="AJ694" s="1404"/>
      <c r="AK694" s="1404"/>
      <c r="AZ694" s="3"/>
    </row>
    <row r="695" spans="1:52" ht="12.95" customHeight="1">
      <c r="B695" t="s">
        <v>316</v>
      </c>
      <c r="G695" s="1405"/>
      <c r="H695" s="1405"/>
      <c r="I695" s="1405"/>
      <c r="J695" s="1405"/>
      <c r="K695" s="1405"/>
      <c r="L695" s="1405"/>
      <c r="O695" s="33" t="s">
        <v>206</v>
      </c>
      <c r="P695" s="1369"/>
      <c r="Q695" s="1369"/>
      <c r="R695" s="1369"/>
      <c r="U695" t="s">
        <v>316</v>
      </c>
      <c r="Z695" s="1405"/>
      <c r="AA695" s="1405"/>
      <c r="AB695" s="1405"/>
      <c r="AC695" s="1405"/>
      <c r="AD695" s="1405"/>
      <c r="AE695" s="1405"/>
      <c r="AH695" s="33" t="s">
        <v>206</v>
      </c>
      <c r="AI695" s="1369"/>
      <c r="AJ695" s="1369"/>
      <c r="AK695" s="1369"/>
      <c r="AZ695" s="3"/>
    </row>
    <row r="696" spans="1:52" ht="12.95" customHeight="1">
      <c r="B696" t="s">
        <v>18</v>
      </c>
      <c r="H696" s="1377"/>
      <c r="I696" s="1377"/>
      <c r="J696" s="1377"/>
      <c r="K696" s="1377"/>
      <c r="L696" s="1377"/>
      <c r="M696" s="1377"/>
      <c r="N696" s="1377"/>
      <c r="O696" s="1377"/>
      <c r="P696" s="1377"/>
      <c r="Q696" s="1377"/>
      <c r="R696" s="1377"/>
      <c r="U696" t="s">
        <v>18</v>
      </c>
      <c r="AA696" s="1377"/>
      <c r="AB696" s="1377"/>
      <c r="AC696" s="1377"/>
      <c r="AD696" s="1377"/>
      <c r="AE696" s="1377"/>
      <c r="AF696" s="1377"/>
      <c r="AG696" s="1377"/>
      <c r="AH696" s="1377"/>
      <c r="AI696" s="1377"/>
      <c r="AJ696" s="1377"/>
      <c r="AK696" s="1377"/>
      <c r="AZ696" s="3"/>
    </row>
    <row r="697" spans="1:52" ht="12.95" customHeight="1">
      <c r="B697" t="s">
        <v>20</v>
      </c>
      <c r="N697" s="1269" t="s">
        <v>668</v>
      </c>
      <c r="O697" s="1269"/>
      <c r="U697" t="s">
        <v>20</v>
      </c>
      <c r="AG697" s="1269" t="s">
        <v>668</v>
      </c>
      <c r="AH697" s="1269"/>
      <c r="AZ697" s="3"/>
    </row>
    <row r="698" spans="1:52" ht="12.95" customHeight="1">
      <c r="AZ698" s="3"/>
    </row>
    <row r="699" spans="1:52" ht="12.95" customHeight="1">
      <c r="A699" s="2" t="s">
        <v>575</v>
      </c>
      <c r="C699" s="2" t="s">
        <v>327</v>
      </c>
      <c r="E699" s="130"/>
      <c r="F699" s="130"/>
      <c r="G699" s="130"/>
      <c r="H699" s="130"/>
      <c r="AZ699" s="3"/>
    </row>
    <row r="700" spans="1:52" ht="12.95" customHeight="1">
      <c r="B700" s="135"/>
      <c r="C700" s="135"/>
      <c r="D700" s="1030" t="s">
        <v>2599</v>
      </c>
      <c r="E700" s="135"/>
      <c r="F700" s="135"/>
      <c r="G700" s="135"/>
      <c r="H700" s="135"/>
      <c r="AZ700" s="3"/>
    </row>
    <row r="701" spans="1:52" ht="12.95" customHeight="1">
      <c r="B701" s="135"/>
      <c r="C701" s="135"/>
      <c r="E701" s="136" t="s">
        <v>434</v>
      </c>
      <c r="F701" s="135"/>
      <c r="G701" s="135"/>
      <c r="H701" s="135"/>
      <c r="AE701" s="1269" t="s">
        <v>544</v>
      </c>
      <c r="AF701" s="1269"/>
      <c r="AZ701" s="3"/>
    </row>
    <row r="702" spans="1:52" ht="12.95" customHeight="1">
      <c r="B702" s="135"/>
      <c r="C702" s="135"/>
      <c r="D702" s="136" t="s">
        <v>437</v>
      </c>
      <c r="E702" s="135"/>
      <c r="F702" s="135"/>
      <c r="G702" s="135"/>
      <c r="H702" s="135"/>
      <c r="AE702" s="1269" t="s">
        <v>544</v>
      </c>
      <c r="AF702" s="1269"/>
      <c r="AZ702" s="3"/>
    </row>
    <row r="703" spans="1:52" ht="12.95" customHeight="1">
      <c r="B703" s="135"/>
      <c r="C703" s="135"/>
      <c r="D703" s="136" t="s">
        <v>919</v>
      </c>
      <c r="E703" s="135"/>
      <c r="F703" s="135"/>
      <c r="G703" s="135"/>
      <c r="H703" s="135"/>
      <c r="AE703" s="1651">
        <v>46161</v>
      </c>
      <c r="AF703" s="1651"/>
      <c r="AG703" s="1651"/>
      <c r="AH703" s="1651"/>
      <c r="AI703" s="1651"/>
    </row>
    <row r="704" spans="1:52" ht="12.95" customHeight="1">
      <c r="B704" s="135"/>
      <c r="C704" s="135"/>
      <c r="D704" s="317" t="s">
        <v>982</v>
      </c>
      <c r="E704" s="135"/>
      <c r="F704" s="135"/>
      <c r="G704" s="135"/>
      <c r="H704" s="135"/>
      <c r="AE704" s="1658">
        <v>46252</v>
      </c>
      <c r="AF704" s="1658"/>
      <c r="AG704" s="1658"/>
      <c r="AH704" s="1658"/>
      <c r="AI704" s="1658"/>
    </row>
    <row r="705" spans="1:110" ht="12.95" customHeight="1">
      <c r="B705" s="135"/>
      <c r="C705" s="135"/>
    </row>
    <row r="706" spans="1:110" ht="12.95" customHeight="1">
      <c r="B706" s="135"/>
      <c r="C706" s="135"/>
      <c r="D706" s="136" t="s">
        <v>815</v>
      </c>
      <c r="E706" s="135"/>
      <c r="F706" s="135"/>
      <c r="G706" s="135"/>
      <c r="H706" s="135"/>
      <c r="AE706" s="1651">
        <v>46432</v>
      </c>
      <c r="AF706" s="1651"/>
      <c r="AG706" s="1651"/>
      <c r="AH706" s="1651"/>
      <c r="AI706" s="1651"/>
    </row>
    <row r="707" spans="1:110" ht="12.95" customHeight="1">
      <c r="B707" s="135"/>
      <c r="C707" s="135"/>
      <c r="D707" s="136" t="s">
        <v>435</v>
      </c>
      <c r="E707" s="135"/>
      <c r="F707" s="135"/>
      <c r="G707" s="135"/>
      <c r="H707" s="135"/>
      <c r="AE707" s="1614">
        <f>AM562/SUM('Sources and Uses Budget'!S107,'Sources and Uses Budget'!R4)</f>
        <v>0.27500000261768348</v>
      </c>
      <c r="AF707" s="1614"/>
      <c r="AG707" s="1614"/>
      <c r="AH707" s="1614"/>
      <c r="AI707" s="1614"/>
    </row>
    <row r="708" spans="1:110" ht="12.95" customHeight="1">
      <c r="B708" s="135"/>
      <c r="C708" s="135"/>
      <c r="D708" s="136" t="s">
        <v>436</v>
      </c>
      <c r="E708" s="135"/>
      <c r="F708" s="135"/>
      <c r="G708" s="135"/>
      <c r="H708" s="135"/>
      <c r="W708" s="1376" t="str">
        <f>H344</f>
        <v>CalHFA</v>
      </c>
      <c r="X708" s="1376"/>
      <c r="Y708" s="1376"/>
      <c r="Z708" s="1376"/>
      <c r="AA708" s="1376"/>
      <c r="AB708" s="1376"/>
      <c r="AC708" s="1376"/>
      <c r="AD708" s="1376"/>
      <c r="AE708" s="1376"/>
      <c r="AF708" s="1376"/>
      <c r="AG708" s="1376"/>
      <c r="AH708" s="1376"/>
      <c r="AI708" s="1376"/>
      <c r="AJ708" s="1376"/>
      <c r="AK708" s="1376"/>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269" t="s">
        <v>668</v>
      </c>
      <c r="AF710" s="1269"/>
    </row>
    <row r="711" spans="1:110" ht="12.95" customHeight="1">
      <c r="B711" s="135"/>
      <c r="C711" s="135"/>
      <c r="D711" s="136" t="s">
        <v>441</v>
      </c>
      <c r="E711" s="135"/>
      <c r="F711" s="135"/>
      <c r="G711" s="135"/>
      <c r="H711" s="135"/>
      <c r="W711" s="1377" t="s">
        <v>590</v>
      </c>
      <c r="X711" s="1377"/>
      <c r="Y711" s="1377"/>
      <c r="Z711" s="1377"/>
      <c r="AA711" s="1377"/>
      <c r="AB711" s="1377"/>
      <c r="AC711" s="1377"/>
      <c r="AD711" s="1377"/>
      <c r="AE711" s="1377"/>
      <c r="AF711" s="1377"/>
      <c r="AG711" s="1377"/>
      <c r="AH711" s="1377"/>
      <c r="AI711" s="1377"/>
      <c r="AJ711" s="1377"/>
      <c r="AK711" s="1377"/>
    </row>
    <row r="712" spans="1:110" ht="12.95" customHeight="1">
      <c r="B712" s="135"/>
      <c r="C712" s="135"/>
      <c r="D712" s="136" t="s">
        <v>87</v>
      </c>
      <c r="E712" s="135"/>
      <c r="F712" s="135"/>
      <c r="G712" s="135"/>
      <c r="H712" s="135"/>
      <c r="J712" s="1377" t="s">
        <v>590</v>
      </c>
      <c r="K712" s="1377"/>
      <c r="L712" s="1377"/>
      <c r="M712" s="1377"/>
      <c r="N712" s="1377"/>
      <c r="O712" s="1377"/>
      <c r="P712" s="1377"/>
      <c r="Q712" s="1377"/>
      <c r="R712" s="1377"/>
      <c r="S712" s="1377"/>
      <c r="T712" s="1377"/>
      <c r="U712" s="1377"/>
      <c r="V712" s="1377"/>
      <c r="W712" s="1377"/>
      <c r="X712" s="1377"/>
      <c r="BB712" s="34"/>
      <c r="BC712" s="34"/>
      <c r="BD712" s="34"/>
      <c r="BE712" s="3"/>
      <c r="BF712" s="3"/>
      <c r="BJ712" s="3"/>
      <c r="BK712" s="3"/>
      <c r="BL712" s="3"/>
      <c r="BM712" s="3"/>
      <c r="BN712" s="34"/>
      <c r="BO712" s="34"/>
    </row>
    <row r="713" spans="1:110" ht="12.95" customHeight="1">
      <c r="B713" s="135"/>
      <c r="C713" s="135"/>
      <c r="D713" s="136" t="s">
        <v>88</v>
      </c>
      <c r="J713" s="1650" t="s">
        <v>590</v>
      </c>
      <c r="K713" s="1405"/>
      <c r="L713" s="1405"/>
      <c r="M713" s="1405"/>
      <c r="N713" s="1405"/>
      <c r="O713" s="1405"/>
      <c r="P713" s="4" t="s">
        <v>206</v>
      </c>
      <c r="Q713" s="4"/>
      <c r="R713" s="1369"/>
      <c r="S713" s="1369"/>
      <c r="T713" s="1369"/>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377" t="s">
        <v>307</v>
      </c>
      <c r="X714" s="1377"/>
      <c r="Y714" s="1377"/>
      <c r="Z714" s="1377"/>
      <c r="AA714" s="1377"/>
      <c r="AB714" s="1377"/>
      <c r="AC714" s="1377"/>
      <c r="AD714" s="1377"/>
      <c r="AE714" s="1377"/>
      <c r="AF714" s="1377"/>
      <c r="AG714" s="1377"/>
      <c r="AH714" s="1377"/>
      <c r="AI714" s="1377"/>
      <c r="AJ714" s="1377"/>
      <c r="AK714" s="1377"/>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377" t="s">
        <v>334</v>
      </c>
      <c r="F715" s="1377"/>
      <c r="G715" s="1377"/>
      <c r="H715" s="1377"/>
      <c r="I715" s="1377"/>
      <c r="J715" s="1377"/>
      <c r="K715" s="1377"/>
      <c r="L715" s="1377"/>
      <c r="M715" s="1377"/>
      <c r="N715" s="1377"/>
      <c r="O715" s="1377"/>
      <c r="P715" s="1377"/>
      <c r="Q715" s="1377"/>
      <c r="R715" s="1377"/>
      <c r="S715" s="1377"/>
      <c r="T715" s="1377"/>
      <c r="U715" s="1377"/>
      <c r="V715" s="1377"/>
      <c r="W715" s="1377"/>
      <c r="X715" s="1377"/>
      <c r="Y715" s="1377"/>
      <c r="Z715" s="1377"/>
      <c r="AA715" s="1377"/>
      <c r="AB715" s="1377"/>
      <c r="AC715" s="1377"/>
      <c r="AD715" s="1377"/>
      <c r="AE715" s="1377"/>
      <c r="AF715" s="1377"/>
      <c r="AG715" s="1377"/>
      <c r="AH715" s="1377"/>
      <c r="AI715" s="1377"/>
      <c r="AJ715" s="1377"/>
      <c r="AK715" s="1377"/>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391" t="s">
        <v>95</v>
      </c>
      <c r="B717" s="1391"/>
      <c r="C717" s="1391"/>
      <c r="D717" s="1391"/>
      <c r="E717" s="1391"/>
      <c r="F717" s="1391"/>
      <c r="G717" s="1391"/>
      <c r="H717" s="1391"/>
      <c r="I717" s="1391"/>
      <c r="J717" s="1391"/>
      <c r="K717" s="1391"/>
      <c r="L717" s="1391"/>
      <c r="M717" s="1391"/>
      <c r="N717" s="1391"/>
      <c r="O717" s="1391"/>
      <c r="P717" s="1391"/>
      <c r="Q717" s="1391"/>
      <c r="R717" s="1391"/>
      <c r="S717" s="1391"/>
      <c r="T717" s="1391"/>
      <c r="U717" s="1391"/>
      <c r="V717" s="1391"/>
      <c r="W717" s="1391"/>
      <c r="X717" s="1391"/>
      <c r="Y717" s="1391"/>
      <c r="Z717" s="1391"/>
      <c r="AA717" s="1391"/>
      <c r="AB717" s="1391"/>
      <c r="AC717" s="1391"/>
      <c r="AD717" s="1391"/>
      <c r="AE717" s="1391"/>
      <c r="AF717" s="1391"/>
      <c r="AG717" s="1391"/>
      <c r="AH717" s="1391"/>
      <c r="AI717" s="1391"/>
      <c r="AJ717" s="1391"/>
      <c r="AK717" s="1391"/>
      <c r="AL717" s="1391"/>
      <c r="AM717" s="1391"/>
      <c r="AN717" s="1391"/>
      <c r="AO717" s="1391"/>
      <c r="AP717" s="1391"/>
      <c r="AQ717" s="1391"/>
      <c r="AR717" s="1391"/>
      <c r="AS717" s="1391"/>
      <c r="AT717" s="1391"/>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391"/>
      <c r="B718" s="1391"/>
      <c r="C718" s="1391"/>
      <c r="D718" s="1391"/>
      <c r="E718" s="1391"/>
      <c r="F718" s="1391"/>
      <c r="G718" s="1391"/>
      <c r="H718" s="1391"/>
      <c r="I718" s="1391"/>
      <c r="J718" s="1391"/>
      <c r="K718" s="1391"/>
      <c r="L718" s="1391"/>
      <c r="M718" s="1391"/>
      <c r="N718" s="1391"/>
      <c r="O718" s="1391"/>
      <c r="P718" s="1391"/>
      <c r="Q718" s="1391"/>
      <c r="R718" s="1391"/>
      <c r="S718" s="1391"/>
      <c r="T718" s="1391"/>
      <c r="U718" s="1391"/>
      <c r="V718" s="1391"/>
      <c r="W718" s="1391"/>
      <c r="X718" s="1391"/>
      <c r="Y718" s="1391"/>
      <c r="Z718" s="1391"/>
      <c r="AA718" s="1391"/>
      <c r="AB718" s="1391"/>
      <c r="AC718" s="1391"/>
      <c r="AD718" s="1391"/>
      <c r="AE718" s="1391"/>
      <c r="AF718" s="1391"/>
      <c r="AG718" s="1391"/>
      <c r="AH718" s="1391"/>
      <c r="AI718" s="1391"/>
      <c r="AJ718" s="1391"/>
      <c r="AK718" s="1391"/>
      <c r="AL718" s="1391"/>
      <c r="AM718" s="1391"/>
      <c r="AN718" s="1391"/>
      <c r="AO718" s="1391"/>
      <c r="AP718" s="1391"/>
      <c r="AQ718" s="1391"/>
      <c r="AR718" s="1391"/>
      <c r="AS718" s="1391"/>
      <c r="AT718" s="1391"/>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391"/>
      <c r="B719" s="1391"/>
      <c r="C719" s="1391"/>
      <c r="D719" s="1391"/>
      <c r="E719" s="1391"/>
      <c r="F719" s="1391"/>
      <c r="G719" s="1391"/>
      <c r="H719" s="1391"/>
      <c r="I719" s="1391"/>
      <c r="J719" s="1391"/>
      <c r="K719" s="1391"/>
      <c r="L719" s="1391"/>
      <c r="M719" s="1391"/>
      <c r="N719" s="1391"/>
      <c r="O719" s="1391"/>
      <c r="P719" s="1391"/>
      <c r="Q719" s="1391"/>
      <c r="R719" s="1391"/>
      <c r="S719" s="1391"/>
      <c r="T719" s="1391"/>
      <c r="U719" s="1391"/>
      <c r="V719" s="1391"/>
      <c r="W719" s="1391"/>
      <c r="X719" s="1391"/>
      <c r="Y719" s="1391"/>
      <c r="Z719" s="1391"/>
      <c r="AA719" s="1391"/>
      <c r="AB719" s="1391"/>
      <c r="AC719" s="1391"/>
      <c r="AD719" s="1391"/>
      <c r="AE719" s="1391"/>
      <c r="AF719" s="1391"/>
      <c r="AG719" s="1391"/>
      <c r="AH719" s="1391"/>
      <c r="AI719" s="1391"/>
      <c r="AJ719" s="1391"/>
      <c r="AK719" s="1391"/>
      <c r="AL719" s="1391"/>
      <c r="AM719" s="1391"/>
      <c r="AN719" s="1391"/>
      <c r="AO719" s="1391"/>
      <c r="AP719" s="1391"/>
      <c r="AQ719" s="1391"/>
      <c r="AR719" s="1391"/>
      <c r="AS719" s="1391"/>
      <c r="AT719" s="1391"/>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610" t="s">
        <v>389</v>
      </c>
      <c r="C722" s="1601"/>
      <c r="D722" s="1601"/>
      <c r="E722" s="1601"/>
      <c r="F722" s="1602"/>
      <c r="G722" s="1610" t="s">
        <v>285</v>
      </c>
      <c r="H722" s="1601"/>
      <c r="I722" s="1601"/>
      <c r="J722" s="1602"/>
      <c r="K722" s="1659" t="s">
        <v>1667</v>
      </c>
      <c r="L722" s="1660"/>
      <c r="M722" s="1660"/>
      <c r="N722" s="1661"/>
      <c r="O722" s="1610" t="s">
        <v>446</v>
      </c>
      <c r="P722" s="1601"/>
      <c r="Q722" s="1601"/>
      <c r="R722" s="1601"/>
      <c r="S722" s="1602"/>
      <c r="T722" s="1600" t="s">
        <v>1921</v>
      </c>
      <c r="U722" s="1601"/>
      <c r="V722" s="1601"/>
      <c r="W722" s="1602"/>
      <c r="X722" s="1600" t="s">
        <v>1923</v>
      </c>
      <c r="Y722" s="1601"/>
      <c r="Z722" s="1601"/>
      <c r="AA722" s="1601"/>
      <c r="AB722" s="1602"/>
      <c r="AC722" s="1600" t="s">
        <v>1922</v>
      </c>
      <c r="AD722" s="1601"/>
      <c r="AE722" s="1601"/>
      <c r="AF722" s="1601"/>
      <c r="AG722" s="1602"/>
      <c r="AH722" s="1600" t="s">
        <v>1924</v>
      </c>
      <c r="AI722" s="1601"/>
      <c r="AJ722" s="1602"/>
      <c r="AK722" s="1600" t="s">
        <v>1951</v>
      </c>
      <c r="AL722" s="1601"/>
      <c r="AM722" s="1601"/>
      <c r="AN722" s="1601"/>
      <c r="AO722" s="1602"/>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603"/>
      <c r="C723" s="1604"/>
      <c r="D723" s="1604"/>
      <c r="E723" s="1604"/>
      <c r="F723" s="1605"/>
      <c r="G723" s="1603"/>
      <c r="H723" s="1604"/>
      <c r="I723" s="1604"/>
      <c r="J723" s="1605"/>
      <c r="K723" s="1662"/>
      <c r="L723" s="1663"/>
      <c r="M723" s="1663"/>
      <c r="N723" s="1664"/>
      <c r="O723" s="1603"/>
      <c r="P723" s="1604"/>
      <c r="Q723" s="1604"/>
      <c r="R723" s="1604"/>
      <c r="S723" s="1605"/>
      <c r="T723" s="1603"/>
      <c r="U723" s="1604"/>
      <c r="V723" s="1604"/>
      <c r="W723" s="1605"/>
      <c r="X723" s="1603"/>
      <c r="Y723" s="1604"/>
      <c r="Z723" s="1604"/>
      <c r="AA723" s="1604"/>
      <c r="AB723" s="1605"/>
      <c r="AC723" s="1603"/>
      <c r="AD723" s="1604"/>
      <c r="AE723" s="1604"/>
      <c r="AF723" s="1604"/>
      <c r="AG723" s="1605"/>
      <c r="AH723" s="1603"/>
      <c r="AI723" s="1604"/>
      <c r="AJ723" s="1605"/>
      <c r="AK723" s="1603"/>
      <c r="AL723" s="1604"/>
      <c r="AM723" s="1604"/>
      <c r="AN723" s="1604"/>
      <c r="AO723" s="1605"/>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603"/>
      <c r="C724" s="1604"/>
      <c r="D724" s="1604"/>
      <c r="E724" s="1604"/>
      <c r="F724" s="1605"/>
      <c r="G724" s="1603"/>
      <c r="H724" s="1604"/>
      <c r="I724" s="1604"/>
      <c r="J724" s="1605"/>
      <c r="K724" s="1662"/>
      <c r="L724" s="1663"/>
      <c r="M724" s="1663"/>
      <c r="N724" s="1664"/>
      <c r="O724" s="1603"/>
      <c r="P724" s="1604"/>
      <c r="Q724" s="1604"/>
      <c r="R724" s="1604"/>
      <c r="S724" s="1605"/>
      <c r="T724" s="1603"/>
      <c r="U724" s="1604"/>
      <c r="V724" s="1604"/>
      <c r="W724" s="1605"/>
      <c r="X724" s="1603"/>
      <c r="Y724" s="1604"/>
      <c r="Z724" s="1604"/>
      <c r="AA724" s="1604"/>
      <c r="AB724" s="1605"/>
      <c r="AC724" s="1603"/>
      <c r="AD724" s="1604"/>
      <c r="AE724" s="1604"/>
      <c r="AF724" s="1604"/>
      <c r="AG724" s="1605"/>
      <c r="AH724" s="1603"/>
      <c r="AI724" s="1604"/>
      <c r="AJ724" s="1605"/>
      <c r="AK724" s="1603"/>
      <c r="AL724" s="1604"/>
      <c r="AM724" s="1604"/>
      <c r="AN724" s="1604"/>
      <c r="AO724" s="1605"/>
      <c r="AP724" s="3"/>
      <c r="AQ724" s="3"/>
      <c r="AR724" s="3"/>
      <c r="AS724" s="3"/>
      <c r="BA724" s="3"/>
      <c r="BB724" s="3"/>
      <c r="BC724" s="3"/>
      <c r="BD724" s="3"/>
      <c r="BE724" s="204"/>
      <c r="BF724" s="205" t="s">
        <v>894</v>
      </c>
      <c r="BG724" s="204"/>
      <c r="BH724" s="204"/>
      <c r="BI724" s="3"/>
      <c r="BJ724" s="3"/>
      <c r="BK724" s="3"/>
      <c r="BL724" s="3"/>
      <c r="BM724" s="3"/>
      <c r="BN724" s="3"/>
      <c r="BS724" s="205" t="s">
        <v>1616</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606"/>
      <c r="C725" s="1607"/>
      <c r="D725" s="1607"/>
      <c r="E725" s="1607"/>
      <c r="F725" s="1608"/>
      <c r="G725" s="1606"/>
      <c r="H725" s="1607"/>
      <c r="I725" s="1607"/>
      <c r="J725" s="1608"/>
      <c r="K725" s="1662"/>
      <c r="L725" s="1663"/>
      <c r="M725" s="1663"/>
      <c r="N725" s="1664"/>
      <c r="O725" s="1606"/>
      <c r="P725" s="1607"/>
      <c r="Q725" s="1607"/>
      <c r="R725" s="1607"/>
      <c r="S725" s="1608"/>
      <c r="T725" s="1606"/>
      <c r="U725" s="1607"/>
      <c r="V725" s="1607"/>
      <c r="W725" s="1608"/>
      <c r="X725" s="1606"/>
      <c r="Y725" s="1607"/>
      <c r="Z725" s="1607"/>
      <c r="AA725" s="1607"/>
      <c r="AB725" s="1608"/>
      <c r="AC725" s="1606"/>
      <c r="AD725" s="1607"/>
      <c r="AE725" s="1607"/>
      <c r="AF725" s="1607"/>
      <c r="AG725" s="1608"/>
      <c r="AH725" s="1606"/>
      <c r="AI725" s="1607"/>
      <c r="AJ725" s="1608"/>
      <c r="AK725" s="1606"/>
      <c r="AL725" s="1607"/>
      <c r="AM725" s="1607"/>
      <c r="AN725" s="1607"/>
      <c r="AO725" s="1608"/>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456"/>
      <c r="CJ725" s="1458"/>
      <c r="CK725" s="121" t="s">
        <v>474</v>
      </c>
      <c r="CL725" s="122"/>
      <c r="CM725" s="1456"/>
      <c r="CN725" s="1458"/>
      <c r="CO725" s="3"/>
      <c r="CP725" s="1361" t="s">
        <v>632</v>
      </c>
      <c r="CQ725" s="1362"/>
      <c r="CR725" s="1362"/>
      <c r="CS725" s="1362"/>
      <c r="CT725" s="1363"/>
      <c r="CU725" s="1471" t="s">
        <v>325</v>
      </c>
      <c r="CV725" s="1471"/>
      <c r="CW725" s="1471"/>
      <c r="CX725" s="1471"/>
      <c r="CY725" s="1471"/>
      <c r="CZ725" s="1471" t="s">
        <v>163</v>
      </c>
      <c r="DA725" s="1471"/>
      <c r="DB725" s="1471"/>
      <c r="DC725" s="1471"/>
      <c r="DD725" s="1471"/>
      <c r="DE725" s="1471" t="s">
        <v>164</v>
      </c>
      <c r="DF725" s="1471"/>
      <c r="DG725" s="1471"/>
      <c r="DH725" s="1471"/>
      <c r="DI725" s="1471"/>
      <c r="DJ725" s="1471" t="s">
        <v>459</v>
      </c>
      <c r="DK725" s="1471"/>
      <c r="DL725" s="1471"/>
      <c r="DM725" s="1471"/>
      <c r="DN725" s="1471"/>
      <c r="DO725" s="1471" t="s">
        <v>30</v>
      </c>
      <c r="DP725" s="1471"/>
      <c r="DQ725" s="1471"/>
      <c r="DR725" s="1471"/>
      <c r="DS725" s="1471"/>
      <c r="DT725" s="89"/>
      <c r="DU725" s="1471" t="s">
        <v>632</v>
      </c>
      <c r="DV725" s="1471"/>
      <c r="DW725" s="1471"/>
      <c r="DX725" s="1471"/>
      <c r="DY725" s="1471"/>
      <c r="DZ725" s="1471" t="s">
        <v>325</v>
      </c>
      <c r="EA725" s="1471"/>
      <c r="EB725" s="1471"/>
      <c r="EC725" s="1471"/>
      <c r="ED725" s="1471"/>
      <c r="EE725" s="1471" t="s">
        <v>163</v>
      </c>
      <c r="EF725" s="1471"/>
      <c r="EG725" s="1471"/>
      <c r="EH725" s="1471"/>
      <c r="EI725" s="1471"/>
      <c r="EJ725" s="1471" t="s">
        <v>164</v>
      </c>
      <c r="EK725" s="1471"/>
      <c r="EL725" s="1471"/>
      <c r="EM725" s="1471"/>
      <c r="EN725" s="1471"/>
      <c r="EO725" s="1471" t="s">
        <v>459</v>
      </c>
      <c r="EP725" s="1471"/>
      <c r="EQ725" s="1471"/>
      <c r="ER725" s="1471"/>
      <c r="ES725" s="1471"/>
      <c r="ET725" s="1471" t="s">
        <v>30</v>
      </c>
      <c r="EU725" s="1471"/>
      <c r="EV725" s="1471"/>
      <c r="EW725" s="1471"/>
      <c r="EX725" s="1471"/>
      <c r="EY725" s="4"/>
      <c r="EZ725" s="1471" t="s">
        <v>632</v>
      </c>
      <c r="FA725" s="1471"/>
      <c r="FB725" s="1471"/>
      <c r="FC725" s="1471"/>
      <c r="FD725" s="1471"/>
      <c r="FE725" s="1471" t="s">
        <v>325</v>
      </c>
      <c r="FF725" s="1471"/>
      <c r="FG725" s="1471"/>
      <c r="FH725" s="1471"/>
      <c r="FI725" s="1471"/>
      <c r="FJ725" s="1471" t="s">
        <v>163</v>
      </c>
      <c r="FK725" s="1471"/>
      <c r="FL725" s="1471"/>
      <c r="FM725" s="1471"/>
      <c r="FN725" s="1471"/>
      <c r="FO725" s="1471" t="s">
        <v>164</v>
      </c>
      <c r="FP725" s="1471"/>
      <c r="FQ725" s="1471"/>
      <c r="FR725" s="1471"/>
      <c r="FS725" s="1471"/>
      <c r="FT725" s="1471" t="s">
        <v>459</v>
      </c>
      <c r="FU725" s="1471"/>
      <c r="FV725" s="1471"/>
      <c r="FW725" s="1471"/>
      <c r="FX725" s="1471"/>
      <c r="FY725" s="1471" t="s">
        <v>30</v>
      </c>
      <c r="FZ725" s="1471"/>
      <c r="GA725" s="1471"/>
      <c r="GB725" s="1471"/>
      <c r="GC725" s="1471"/>
    </row>
    <row r="726" spans="1:185" ht="12.95" customHeight="1">
      <c r="A726" s="4"/>
      <c r="B726" s="1314" t="s">
        <v>324</v>
      </c>
      <c r="C726" s="1315"/>
      <c r="D726" s="1315"/>
      <c r="E726" s="1315"/>
      <c r="F726" s="1316"/>
      <c r="G726" s="1311">
        <v>1</v>
      </c>
      <c r="H726" s="1312"/>
      <c r="I726" s="1312"/>
      <c r="J726" s="1313"/>
      <c r="K726" s="1342">
        <v>333</v>
      </c>
      <c r="L726" s="1343"/>
      <c r="M726" s="1343"/>
      <c r="N726" s="1344"/>
      <c r="O726" s="1373">
        <f>795-T726</f>
        <v>760</v>
      </c>
      <c r="P726" s="1374"/>
      <c r="Q726" s="1374"/>
      <c r="R726" s="1374"/>
      <c r="S726" s="1375"/>
      <c r="T726" s="1373">
        <v>35</v>
      </c>
      <c r="U726" s="1374"/>
      <c r="V726" s="1374"/>
      <c r="W726" s="1375"/>
      <c r="X726" s="1370">
        <f t="shared" ref="X726:X749" si="10">O726+T726</f>
        <v>795</v>
      </c>
      <c r="Y726" s="1371"/>
      <c r="Z726" s="1371"/>
      <c r="AA726" s="1371"/>
      <c r="AB726" s="1372"/>
      <c r="AC726" s="1550">
        <v>0.3</v>
      </c>
      <c r="AD726" s="1551"/>
      <c r="AE726" s="1551"/>
      <c r="AF726" s="1551"/>
      <c r="AG726" s="1552"/>
      <c r="AH726" s="1378">
        <f>IF($AC726&gt;0,($X726/$AZ726), "")</f>
        <v>0.3</v>
      </c>
      <c r="AI726" s="1379"/>
      <c r="AJ726" s="1380"/>
      <c r="AK726" s="1314" t="s">
        <v>590</v>
      </c>
      <c r="AL726" s="1315"/>
      <c r="AM726" s="1315"/>
      <c r="AN726" s="1315"/>
      <c r="AO726" s="1316"/>
      <c r="AP726" s="3"/>
      <c r="AQ726" s="3"/>
      <c r="AR726" s="3"/>
      <c r="AS726" s="3"/>
      <c r="AZ726" s="118">
        <f t="shared" ref="AZ726:AZ760" si="11">IF($G726=0,"N/A",VLOOKUP($T$189,TC_Rent,(MATCH($B726,bedrooms,FALSE)),FALSE))</f>
        <v>2650</v>
      </c>
      <c r="BA726" s="3"/>
      <c r="BB726" s="3"/>
      <c r="BC726" s="3"/>
      <c r="BD726" s="3"/>
      <c r="BE726" s="204"/>
      <c r="BF726" s="293">
        <f t="shared" ref="BF726:BF760" si="12">G726</f>
        <v>1</v>
      </c>
      <c r="BG726" s="297">
        <f t="shared" ref="BG726:BG760" si="13">IF($BF$761=0,0,BF726/$BF$761)</f>
        <v>4.9261083743842365E-3</v>
      </c>
      <c r="BH726" s="298">
        <f t="shared" ref="BH726:BH760" si="14">IF(BG726=0,"",BG726*AC726)</f>
        <v>1.4778325123152708E-3</v>
      </c>
      <c r="BI726" s="3"/>
      <c r="BJ726" s="3"/>
      <c r="BK726" s="3"/>
      <c r="BL726" s="3"/>
      <c r="BM726" s="3"/>
      <c r="BN726" s="3"/>
      <c r="BS726" s="293">
        <f t="shared" ref="BS726:BS760" si="15">G726</f>
        <v>1</v>
      </c>
      <c r="BT726" s="297">
        <f t="shared" ref="BT726:BT760" si="16">IF($BS$761=0,0,BS726/$BS$761)</f>
        <v>4.9261083743842365E-3</v>
      </c>
      <c r="BU726" s="298">
        <f t="shared" ref="BU726:BU760" si="17">IF(BT726=0,"",BT726*AH726)</f>
        <v>1.4778325123152708E-3</v>
      </c>
      <c r="CC726" s="3"/>
      <c r="CD726" s="3"/>
      <c r="CE726" s="3"/>
      <c r="CF726" s="3"/>
      <c r="CG726" s="1468">
        <f>IF(AND(AC726&lt;=0.5,AC726&gt;=0.36),1,0)</f>
        <v>0</v>
      </c>
      <c r="CH726" s="1470"/>
      <c r="CI726" s="1456">
        <f>IF(CG726=1,G726,0)</f>
        <v>0</v>
      </c>
      <c r="CJ726" s="1458"/>
      <c r="CK726" s="1468">
        <f t="shared" ref="CK726:CK760" si="18">IF(AND(AC726&lt;=0.35,AC726&gt;0),1,0)</f>
        <v>1</v>
      </c>
      <c r="CL726" s="1470"/>
      <c r="CM726" s="1456">
        <f t="shared" ref="CM726:CM760" si="19">IF(CK726=1,G726,0)</f>
        <v>1</v>
      </c>
      <c r="CN726" s="1458"/>
      <c r="CO726" s="3"/>
      <c r="CP726" s="1459">
        <f t="shared" ref="CP726:CP760" si="20">IF(B726="SRO/Studio",G726,0)</f>
        <v>1</v>
      </c>
      <c r="CQ726" s="1460"/>
      <c r="CR726" s="1460"/>
      <c r="CS726" s="1460"/>
      <c r="CT726" s="1461"/>
      <c r="CU726" s="1462">
        <f t="shared" ref="CU726:CU760" si="21">IF(B726="1 Bedroom",G726,0)</f>
        <v>0</v>
      </c>
      <c r="CV726" s="1462"/>
      <c r="CW726" s="1462"/>
      <c r="CX726" s="1462"/>
      <c r="CY726" s="1462"/>
      <c r="CZ726" s="1462">
        <f t="shared" ref="CZ726:CZ760" si="22">IF(B726="2 Bedrooms",G726,0)</f>
        <v>0</v>
      </c>
      <c r="DA726" s="1462"/>
      <c r="DB726" s="1462"/>
      <c r="DC726" s="1462"/>
      <c r="DD726" s="1462"/>
      <c r="DE726" s="1462">
        <f t="shared" ref="DE726:DE760" si="23">IF(B726="3 Bedrooms",G726,0)</f>
        <v>0</v>
      </c>
      <c r="DF726" s="1462"/>
      <c r="DG726" s="1462"/>
      <c r="DH726" s="1462"/>
      <c r="DI726" s="1462"/>
      <c r="DJ726" s="1462">
        <f t="shared" ref="DJ726:DJ760" si="24">IF(B726="4 Bedrooms",G726,0)</f>
        <v>0</v>
      </c>
      <c r="DK726" s="1462"/>
      <c r="DL726" s="1462"/>
      <c r="DM726" s="1462"/>
      <c r="DN726" s="1462"/>
      <c r="DO726" s="1462">
        <f t="shared" ref="DO726:DO760" si="25">IF(B726="5 Bedrooms",G726,0)</f>
        <v>0</v>
      </c>
      <c r="DP726" s="1462"/>
      <c r="DQ726" s="1462"/>
      <c r="DR726" s="1462"/>
      <c r="DS726" s="1462"/>
      <c r="DT726" s="6"/>
      <c r="DU726" s="1463">
        <f t="shared" ref="DU726:DU760" si="26">IF(AND(B726="SRO/Studio",AC726&lt;=0.3),G726,0)</f>
        <v>1</v>
      </c>
      <c r="DV726" s="1463"/>
      <c r="DW726" s="1463"/>
      <c r="DX726" s="1463"/>
      <c r="DY726" s="1463"/>
      <c r="DZ726" s="1463">
        <f t="shared" ref="DZ726:DZ760" si="27">IF(AND(B726="1 Bedroom",AC726&lt;=0.3),G726,0)</f>
        <v>0</v>
      </c>
      <c r="EA726" s="1463"/>
      <c r="EB726" s="1463"/>
      <c r="EC726" s="1463"/>
      <c r="ED726" s="1463"/>
      <c r="EE726" s="1463">
        <f t="shared" ref="EE726:EE760" si="28">IF(AND(B726="2 Bedrooms",AC726&lt;=0.3),G726,0)</f>
        <v>0</v>
      </c>
      <c r="EF726" s="1463"/>
      <c r="EG726" s="1463"/>
      <c r="EH726" s="1463"/>
      <c r="EI726" s="1463"/>
      <c r="EJ726" s="1463">
        <f t="shared" ref="EJ726:EJ760" si="29">IF(AND(B726="3 Bedrooms",AC726&lt;=0.3),G726,0)</f>
        <v>0</v>
      </c>
      <c r="EK726" s="1463"/>
      <c r="EL726" s="1463"/>
      <c r="EM726" s="1463"/>
      <c r="EN726" s="1463"/>
      <c r="EO726" s="1463">
        <f t="shared" ref="EO726:EO760" si="30">IF(AND(B726="4 Bedrooms",AC726&lt;=0.3),G726,0)</f>
        <v>0</v>
      </c>
      <c r="EP726" s="1463"/>
      <c r="EQ726" s="1463"/>
      <c r="ER726" s="1463"/>
      <c r="ES726" s="1463"/>
      <c r="ET726" s="1463">
        <f t="shared" ref="ET726:ET760" si="31">IF(AND(B726="5 Bedrooms",AC726&lt;=0.3),G726,0)</f>
        <v>0</v>
      </c>
      <c r="EU726" s="1463"/>
      <c r="EV726" s="1463"/>
      <c r="EW726" s="1463"/>
      <c r="EX726" s="1463"/>
      <c r="EY726" s="4"/>
      <c r="EZ726" s="1468">
        <f t="shared" ref="EZ726:EZ760" si="32">IF(CP726&gt;0,O726,"")</f>
        <v>760</v>
      </c>
      <c r="FA726" s="1469"/>
      <c r="FB726" s="1469"/>
      <c r="FC726" s="1469"/>
      <c r="FD726" s="1470"/>
      <c r="FE726" s="1468" t="str">
        <f t="shared" ref="FE726:FE760" si="33">IF(CU726&gt;0,O726,"")</f>
        <v/>
      </c>
      <c r="FF726" s="1469"/>
      <c r="FG726" s="1469"/>
      <c r="FH726" s="1469"/>
      <c r="FI726" s="1470"/>
      <c r="FJ726" s="1468" t="str">
        <f t="shared" ref="FJ726:FJ760" si="34">IF(CZ726&gt;0,O726,"")</f>
        <v/>
      </c>
      <c r="FK726" s="1469"/>
      <c r="FL726" s="1469"/>
      <c r="FM726" s="1469"/>
      <c r="FN726" s="1470"/>
      <c r="FO726" s="1468" t="str">
        <f t="shared" ref="FO726:FO760" si="35">IF(DE726&gt;0,O726,"")</f>
        <v/>
      </c>
      <c r="FP726" s="1469"/>
      <c r="FQ726" s="1469"/>
      <c r="FR726" s="1469"/>
      <c r="FS726" s="1470"/>
      <c r="FT726" s="1468" t="str">
        <f t="shared" ref="FT726:FT760" si="36">IF(DJ726&gt;0,O726,"")</f>
        <v/>
      </c>
      <c r="FU726" s="1469"/>
      <c r="FV726" s="1469"/>
      <c r="FW726" s="1469"/>
      <c r="FX726" s="1470"/>
      <c r="FY726" s="1468" t="str">
        <f t="shared" ref="FY726:FY760" si="37">IF(DO726&gt;0,O726,"")</f>
        <v/>
      </c>
      <c r="FZ726" s="1469"/>
      <c r="GA726" s="1469"/>
      <c r="GB726" s="1469"/>
      <c r="GC726" s="1470"/>
    </row>
    <row r="727" spans="1:185" ht="12.95" customHeight="1">
      <c r="A727" s="4"/>
      <c r="B727" s="1314" t="s">
        <v>324</v>
      </c>
      <c r="C727" s="1315"/>
      <c r="D727" s="1315"/>
      <c r="E727" s="1315"/>
      <c r="F727" s="1316"/>
      <c r="G727" s="1311">
        <v>1</v>
      </c>
      <c r="H727" s="1312"/>
      <c r="I727" s="1312"/>
      <c r="J727" s="1313"/>
      <c r="K727" s="1342">
        <v>333</v>
      </c>
      <c r="L727" s="1343"/>
      <c r="M727" s="1343"/>
      <c r="N727" s="1344"/>
      <c r="O727" s="1373">
        <f>1325-T727</f>
        <v>1290</v>
      </c>
      <c r="P727" s="1374"/>
      <c r="Q727" s="1374"/>
      <c r="R727" s="1374"/>
      <c r="S727" s="1375"/>
      <c r="T727" s="1373">
        <v>35</v>
      </c>
      <c r="U727" s="1374"/>
      <c r="V727" s="1374"/>
      <c r="W727" s="1375"/>
      <c r="X727" s="1370">
        <f t="shared" si="10"/>
        <v>1325</v>
      </c>
      <c r="Y727" s="1371"/>
      <c r="Z727" s="1371"/>
      <c r="AA727" s="1371"/>
      <c r="AB727" s="1372"/>
      <c r="AC727" s="1550">
        <v>0.5</v>
      </c>
      <c r="AD727" s="1551"/>
      <c r="AE727" s="1551"/>
      <c r="AF727" s="1551"/>
      <c r="AG727" s="1552"/>
      <c r="AH727" s="1378">
        <f t="shared" ref="AH727:AH760" si="38">IF($AC727&gt;0,($X727/$AZ727), "")</f>
        <v>0.5</v>
      </c>
      <c r="AI727" s="1379"/>
      <c r="AJ727" s="1380"/>
      <c r="AK727" s="1314" t="s">
        <v>590</v>
      </c>
      <c r="AL727" s="1315"/>
      <c r="AM727" s="1315"/>
      <c r="AN727" s="1315"/>
      <c r="AO727" s="1316"/>
      <c r="AP727" s="3"/>
      <c r="AQ727" s="3"/>
      <c r="AR727" s="3"/>
      <c r="AS727" s="3"/>
      <c r="AZ727" s="118">
        <f t="shared" si="11"/>
        <v>2650</v>
      </c>
      <c r="BA727" s="3"/>
      <c r="BB727" s="3"/>
      <c r="BC727" s="3"/>
      <c r="BD727" s="3"/>
      <c r="BE727" s="204"/>
      <c r="BF727" s="294">
        <f t="shared" si="12"/>
        <v>1</v>
      </c>
      <c r="BG727" s="297">
        <f t="shared" si="13"/>
        <v>4.9261083743842365E-3</v>
      </c>
      <c r="BH727" s="298">
        <f t="shared" si="14"/>
        <v>2.4630541871921183E-3</v>
      </c>
      <c r="BI727" s="3"/>
      <c r="BJ727" s="3"/>
      <c r="BK727" s="3"/>
      <c r="BL727" s="3"/>
      <c r="BM727" s="3"/>
      <c r="BN727" s="3"/>
      <c r="BS727" s="294">
        <f t="shared" si="15"/>
        <v>1</v>
      </c>
      <c r="BT727" s="297">
        <f t="shared" si="16"/>
        <v>4.9261083743842365E-3</v>
      </c>
      <c r="BU727" s="298">
        <f t="shared" si="17"/>
        <v>2.4630541871921183E-3</v>
      </c>
      <c r="CC727" s="3"/>
      <c r="CD727" s="3"/>
      <c r="CE727" s="3"/>
      <c r="CF727" s="3"/>
      <c r="CG727" s="1468">
        <f t="shared" ref="CG727:CG760" si="39">IF(AND(AC727&lt;=0.5,AC727&gt;=0.36),1,0)</f>
        <v>1</v>
      </c>
      <c r="CH727" s="1470"/>
      <c r="CI727" s="1456">
        <f t="shared" ref="CI727:CI760" si="40">IF(CG727=1,G727,0)</f>
        <v>1</v>
      </c>
      <c r="CJ727" s="1458"/>
      <c r="CK727" s="1468">
        <f t="shared" si="18"/>
        <v>0</v>
      </c>
      <c r="CL727" s="1470"/>
      <c r="CM727" s="1456">
        <f t="shared" si="19"/>
        <v>0</v>
      </c>
      <c r="CN727" s="1458"/>
      <c r="CO727" s="3"/>
      <c r="CP727" s="1459">
        <f t="shared" si="20"/>
        <v>1</v>
      </c>
      <c r="CQ727" s="1460"/>
      <c r="CR727" s="1460"/>
      <c r="CS727" s="1460"/>
      <c r="CT727" s="1461"/>
      <c r="CU727" s="1462">
        <f t="shared" si="21"/>
        <v>0</v>
      </c>
      <c r="CV727" s="1462"/>
      <c r="CW727" s="1462"/>
      <c r="CX727" s="1462"/>
      <c r="CY727" s="1462"/>
      <c r="CZ727" s="1462">
        <f t="shared" si="22"/>
        <v>0</v>
      </c>
      <c r="DA727" s="1462"/>
      <c r="DB727" s="1462"/>
      <c r="DC727" s="1462"/>
      <c r="DD727" s="1462"/>
      <c r="DE727" s="1462">
        <f t="shared" si="23"/>
        <v>0</v>
      </c>
      <c r="DF727" s="1462"/>
      <c r="DG727" s="1462"/>
      <c r="DH727" s="1462"/>
      <c r="DI727" s="1462"/>
      <c r="DJ727" s="1462">
        <f t="shared" si="24"/>
        <v>0</v>
      </c>
      <c r="DK727" s="1462"/>
      <c r="DL727" s="1462"/>
      <c r="DM727" s="1462"/>
      <c r="DN727" s="1462"/>
      <c r="DO727" s="1462">
        <f t="shared" si="25"/>
        <v>0</v>
      </c>
      <c r="DP727" s="1462"/>
      <c r="DQ727" s="1462"/>
      <c r="DR727" s="1462"/>
      <c r="DS727" s="1462"/>
      <c r="DT727" s="6"/>
      <c r="DU727" s="1463">
        <f t="shared" si="26"/>
        <v>0</v>
      </c>
      <c r="DV727" s="1463"/>
      <c r="DW727" s="1463"/>
      <c r="DX727" s="1463"/>
      <c r="DY727" s="1463"/>
      <c r="DZ727" s="1463">
        <f t="shared" si="27"/>
        <v>0</v>
      </c>
      <c r="EA727" s="1463"/>
      <c r="EB727" s="1463"/>
      <c r="EC727" s="1463"/>
      <c r="ED727" s="1463"/>
      <c r="EE727" s="1463">
        <f t="shared" si="28"/>
        <v>0</v>
      </c>
      <c r="EF727" s="1463"/>
      <c r="EG727" s="1463"/>
      <c r="EH727" s="1463"/>
      <c r="EI727" s="1463"/>
      <c r="EJ727" s="1463">
        <f t="shared" si="29"/>
        <v>0</v>
      </c>
      <c r="EK727" s="1463"/>
      <c r="EL727" s="1463"/>
      <c r="EM727" s="1463"/>
      <c r="EN727" s="1463"/>
      <c r="EO727" s="1463">
        <f t="shared" si="30"/>
        <v>0</v>
      </c>
      <c r="EP727" s="1463"/>
      <c r="EQ727" s="1463"/>
      <c r="ER727" s="1463"/>
      <c r="ES727" s="1463"/>
      <c r="ET727" s="1463">
        <f t="shared" si="31"/>
        <v>0</v>
      </c>
      <c r="EU727" s="1463"/>
      <c r="EV727" s="1463"/>
      <c r="EW727" s="1463"/>
      <c r="EX727" s="1463"/>
      <c r="EY727" s="4"/>
      <c r="EZ727" s="1468">
        <f t="shared" si="32"/>
        <v>1290</v>
      </c>
      <c r="FA727" s="1469"/>
      <c r="FB727" s="1469"/>
      <c r="FC727" s="1469"/>
      <c r="FD727" s="1470"/>
      <c r="FE727" s="1468" t="str">
        <f t="shared" si="33"/>
        <v/>
      </c>
      <c r="FF727" s="1469"/>
      <c r="FG727" s="1469"/>
      <c r="FH727" s="1469"/>
      <c r="FI727" s="1470"/>
      <c r="FJ727" s="1468" t="str">
        <f t="shared" si="34"/>
        <v/>
      </c>
      <c r="FK727" s="1469"/>
      <c r="FL727" s="1469"/>
      <c r="FM727" s="1469"/>
      <c r="FN727" s="1470"/>
      <c r="FO727" s="1468" t="str">
        <f t="shared" si="35"/>
        <v/>
      </c>
      <c r="FP727" s="1469"/>
      <c r="FQ727" s="1469"/>
      <c r="FR727" s="1469"/>
      <c r="FS727" s="1470"/>
      <c r="FT727" s="1468" t="str">
        <f t="shared" si="36"/>
        <v/>
      </c>
      <c r="FU727" s="1469"/>
      <c r="FV727" s="1469"/>
      <c r="FW727" s="1469"/>
      <c r="FX727" s="1470"/>
      <c r="FY727" s="1468" t="str">
        <f t="shared" si="37"/>
        <v/>
      </c>
      <c r="FZ727" s="1469"/>
      <c r="GA727" s="1469"/>
      <c r="GB727" s="1469"/>
      <c r="GC727" s="1470"/>
    </row>
    <row r="728" spans="1:185" ht="12.95" customHeight="1">
      <c r="A728" s="4"/>
      <c r="B728" s="1314" t="s">
        <v>324</v>
      </c>
      <c r="C728" s="1315"/>
      <c r="D728" s="1315"/>
      <c r="E728" s="1315"/>
      <c r="F728" s="1316"/>
      <c r="G728" s="1311">
        <v>1</v>
      </c>
      <c r="H728" s="1312"/>
      <c r="I728" s="1312"/>
      <c r="J728" s="1313"/>
      <c r="K728" s="1342">
        <v>333</v>
      </c>
      <c r="L728" s="1343"/>
      <c r="M728" s="1343"/>
      <c r="N728" s="1344"/>
      <c r="O728" s="1373">
        <f>1590-T728</f>
        <v>1555</v>
      </c>
      <c r="P728" s="1374"/>
      <c r="Q728" s="1374"/>
      <c r="R728" s="1374"/>
      <c r="S728" s="1375"/>
      <c r="T728" s="1373">
        <v>35</v>
      </c>
      <c r="U728" s="1374"/>
      <c r="V728" s="1374"/>
      <c r="W728" s="1375"/>
      <c r="X728" s="1370">
        <f t="shared" ref="X728:X737" si="41">O728+T728</f>
        <v>1590</v>
      </c>
      <c r="Y728" s="1371"/>
      <c r="Z728" s="1371"/>
      <c r="AA728" s="1371"/>
      <c r="AB728" s="1372"/>
      <c r="AC728" s="1550">
        <v>0.6</v>
      </c>
      <c r="AD728" s="1551"/>
      <c r="AE728" s="1551"/>
      <c r="AF728" s="1551"/>
      <c r="AG728" s="1552"/>
      <c r="AH728" s="1378">
        <f t="shared" si="38"/>
        <v>0.6</v>
      </c>
      <c r="AI728" s="1379"/>
      <c r="AJ728" s="1380"/>
      <c r="AK728" s="1314" t="s">
        <v>590</v>
      </c>
      <c r="AL728" s="1315"/>
      <c r="AM728" s="1315"/>
      <c r="AN728" s="1315"/>
      <c r="AO728" s="1316"/>
      <c r="AP728" s="3"/>
      <c r="AQ728" s="3"/>
      <c r="AR728" s="3"/>
      <c r="AS728" s="3"/>
      <c r="AZ728" s="118">
        <f t="shared" ref="AZ728:AZ737" si="42">IF($G728=0,"N/A",VLOOKUP($T$189,TC_Rent,(MATCH($B728,bedrooms,FALSE)),FALSE))</f>
        <v>2650</v>
      </c>
      <c r="BA728" s="3"/>
      <c r="BB728" s="3"/>
      <c r="BC728" s="3"/>
      <c r="BD728" s="3"/>
      <c r="BE728" s="204"/>
      <c r="BF728" s="294">
        <f t="shared" ref="BF728:BF737" si="43">G728</f>
        <v>1</v>
      </c>
      <c r="BG728" s="297">
        <f t="shared" si="13"/>
        <v>4.9261083743842365E-3</v>
      </c>
      <c r="BH728" s="298">
        <f t="shared" si="14"/>
        <v>2.9556650246305416E-3</v>
      </c>
      <c r="BI728" s="3"/>
      <c r="BJ728" s="3"/>
      <c r="BK728" s="3"/>
      <c r="BL728" s="3"/>
      <c r="BM728" s="3"/>
      <c r="BN728" s="3"/>
      <c r="BS728" s="294">
        <f t="shared" ref="BS728:BS737" si="44">G728</f>
        <v>1</v>
      </c>
      <c r="BT728" s="297">
        <f t="shared" si="16"/>
        <v>4.9261083743842365E-3</v>
      </c>
      <c r="BU728" s="298">
        <f t="shared" si="17"/>
        <v>2.9556650246305416E-3</v>
      </c>
      <c r="CC728" s="3"/>
      <c r="CD728" s="3"/>
      <c r="CE728" s="3"/>
      <c r="CF728" s="3"/>
      <c r="CG728" s="1468">
        <f t="shared" si="39"/>
        <v>0</v>
      </c>
      <c r="CH728" s="1470"/>
      <c r="CI728" s="1456">
        <f t="shared" ref="CI728:CI737" si="45">IF(CG728=1,G728,0)</f>
        <v>0</v>
      </c>
      <c r="CJ728" s="1458"/>
      <c r="CK728" s="1468">
        <f t="shared" si="18"/>
        <v>0</v>
      </c>
      <c r="CL728" s="1470"/>
      <c r="CM728" s="1456">
        <f t="shared" ref="CM728:CM737" si="46">IF(CK728=1,G728,0)</f>
        <v>0</v>
      </c>
      <c r="CN728" s="1458"/>
      <c r="CO728" s="3"/>
      <c r="CP728" s="1459">
        <f t="shared" ref="CP728:CP737" si="47">IF(B728="SRO/Studio",G728,0)</f>
        <v>1</v>
      </c>
      <c r="CQ728" s="1460"/>
      <c r="CR728" s="1460"/>
      <c r="CS728" s="1460"/>
      <c r="CT728" s="1461"/>
      <c r="CU728" s="1462">
        <f t="shared" ref="CU728:CU737" si="48">IF(B728="1 Bedroom",G728,0)</f>
        <v>0</v>
      </c>
      <c r="CV728" s="1462"/>
      <c r="CW728" s="1462"/>
      <c r="CX728" s="1462"/>
      <c r="CY728" s="1462"/>
      <c r="CZ728" s="1462">
        <f t="shared" ref="CZ728:CZ737" si="49">IF(B728="2 Bedrooms",G728,0)</f>
        <v>0</v>
      </c>
      <c r="DA728" s="1462"/>
      <c r="DB728" s="1462"/>
      <c r="DC728" s="1462"/>
      <c r="DD728" s="1462"/>
      <c r="DE728" s="1462">
        <f t="shared" ref="DE728:DE737" si="50">IF(B728="3 Bedrooms",G728,0)</f>
        <v>0</v>
      </c>
      <c r="DF728" s="1462"/>
      <c r="DG728" s="1462"/>
      <c r="DH728" s="1462"/>
      <c r="DI728" s="1462"/>
      <c r="DJ728" s="1462">
        <f t="shared" ref="DJ728:DJ737" si="51">IF(B728="4 Bedrooms",G728,0)</f>
        <v>0</v>
      </c>
      <c r="DK728" s="1462"/>
      <c r="DL728" s="1462"/>
      <c r="DM728" s="1462"/>
      <c r="DN728" s="1462"/>
      <c r="DO728" s="1462">
        <f t="shared" ref="DO728:DO737" si="52">IF(B728="5 Bedrooms",G728,0)</f>
        <v>0</v>
      </c>
      <c r="DP728" s="1462"/>
      <c r="DQ728" s="1462"/>
      <c r="DR728" s="1462"/>
      <c r="DS728" s="1462"/>
      <c r="DT728" s="6"/>
      <c r="DU728" s="1463">
        <f t="shared" ref="DU728:DU737" si="53">IF(AND(B728="SRO/Studio",AC728&lt;=0.3),G728,0)</f>
        <v>0</v>
      </c>
      <c r="DV728" s="1463"/>
      <c r="DW728" s="1463"/>
      <c r="DX728" s="1463"/>
      <c r="DY728" s="1463"/>
      <c r="DZ728" s="1463">
        <f t="shared" ref="DZ728:DZ737" si="54">IF(AND(B728="1 Bedroom",AC728&lt;=0.3),G728,0)</f>
        <v>0</v>
      </c>
      <c r="EA728" s="1463"/>
      <c r="EB728" s="1463"/>
      <c r="EC728" s="1463"/>
      <c r="ED728" s="1463"/>
      <c r="EE728" s="1463">
        <f t="shared" ref="EE728:EE737" si="55">IF(AND(B728="2 Bedrooms",AC728&lt;=0.3),G728,0)</f>
        <v>0</v>
      </c>
      <c r="EF728" s="1463"/>
      <c r="EG728" s="1463"/>
      <c r="EH728" s="1463"/>
      <c r="EI728" s="1463"/>
      <c r="EJ728" s="1463">
        <f t="shared" ref="EJ728:EJ737" si="56">IF(AND(B728="3 Bedrooms",AC728&lt;=0.3),G728,0)</f>
        <v>0</v>
      </c>
      <c r="EK728" s="1463"/>
      <c r="EL728" s="1463"/>
      <c r="EM728" s="1463"/>
      <c r="EN728" s="1463"/>
      <c r="EO728" s="1463">
        <f t="shared" ref="EO728:EO737" si="57">IF(AND(B728="4 Bedrooms",AC728&lt;=0.3),G728,0)</f>
        <v>0</v>
      </c>
      <c r="EP728" s="1463"/>
      <c r="EQ728" s="1463"/>
      <c r="ER728" s="1463"/>
      <c r="ES728" s="1463"/>
      <c r="ET728" s="1463">
        <f t="shared" ref="ET728:ET737" si="58">IF(AND(B728="5 Bedrooms",AC728&lt;=0.3),G728,0)</f>
        <v>0</v>
      </c>
      <c r="EU728" s="1463"/>
      <c r="EV728" s="1463"/>
      <c r="EW728" s="1463"/>
      <c r="EX728" s="1463"/>
      <c r="EZ728" s="1468">
        <f t="shared" ref="EZ728:EZ737" si="59">IF(CP728&gt;0,O728,"")</f>
        <v>1555</v>
      </c>
      <c r="FA728" s="1469"/>
      <c r="FB728" s="1469"/>
      <c r="FC728" s="1469"/>
      <c r="FD728" s="1470"/>
      <c r="FE728" s="1468" t="str">
        <f t="shared" ref="FE728:FE737" si="60">IF(CU728&gt;0,O728,"")</f>
        <v/>
      </c>
      <c r="FF728" s="1469"/>
      <c r="FG728" s="1469"/>
      <c r="FH728" s="1469"/>
      <c r="FI728" s="1470"/>
      <c r="FJ728" s="1468" t="str">
        <f t="shared" ref="FJ728:FJ737" si="61">IF(CZ728&gt;0,O728,"")</f>
        <v/>
      </c>
      <c r="FK728" s="1469"/>
      <c r="FL728" s="1469"/>
      <c r="FM728" s="1469"/>
      <c r="FN728" s="1470"/>
      <c r="FO728" s="1468" t="str">
        <f t="shared" ref="FO728:FO737" si="62">IF(DE728&gt;0,O728,"")</f>
        <v/>
      </c>
      <c r="FP728" s="1469"/>
      <c r="FQ728" s="1469"/>
      <c r="FR728" s="1469"/>
      <c r="FS728" s="1470"/>
      <c r="FT728" s="1468" t="str">
        <f t="shared" ref="FT728:FT737" si="63">IF(DJ728&gt;0,O728,"")</f>
        <v/>
      </c>
      <c r="FU728" s="1469"/>
      <c r="FV728" s="1469"/>
      <c r="FW728" s="1469"/>
      <c r="FX728" s="1470"/>
      <c r="FY728" s="1468" t="str">
        <f t="shared" ref="FY728:FY737" si="64">IF(DO728&gt;0,O728,"")</f>
        <v/>
      </c>
      <c r="FZ728" s="1469"/>
      <c r="GA728" s="1469"/>
      <c r="GB728" s="1469"/>
      <c r="GC728" s="1470"/>
    </row>
    <row r="729" spans="1:185" ht="12.95" customHeight="1">
      <c r="B729" s="1314" t="s">
        <v>324</v>
      </c>
      <c r="C729" s="1315"/>
      <c r="D729" s="1315"/>
      <c r="E729" s="1315"/>
      <c r="F729" s="1316"/>
      <c r="G729" s="1311">
        <v>1</v>
      </c>
      <c r="H729" s="1312"/>
      <c r="I729" s="1312"/>
      <c r="J729" s="1313"/>
      <c r="K729" s="1342">
        <v>333</v>
      </c>
      <c r="L729" s="1343"/>
      <c r="M729" s="1343"/>
      <c r="N729" s="1344"/>
      <c r="O729" s="1373">
        <f>1612-T729</f>
        <v>1577</v>
      </c>
      <c r="P729" s="1374"/>
      <c r="Q729" s="1374"/>
      <c r="R729" s="1374"/>
      <c r="S729" s="1375"/>
      <c r="T729" s="1373">
        <v>35</v>
      </c>
      <c r="U729" s="1374"/>
      <c r="V729" s="1374"/>
      <c r="W729" s="1375"/>
      <c r="X729" s="1370">
        <f t="shared" si="41"/>
        <v>1612</v>
      </c>
      <c r="Y729" s="1371"/>
      <c r="Z729" s="1371"/>
      <c r="AA729" s="1371"/>
      <c r="AB729" s="1372"/>
      <c r="AC729" s="1550">
        <v>0.7</v>
      </c>
      <c r="AD729" s="1551"/>
      <c r="AE729" s="1551"/>
      <c r="AF729" s="1551"/>
      <c r="AG729" s="1552"/>
      <c r="AH729" s="1378">
        <f t="shared" si="38"/>
        <v>0.60830188679245278</v>
      </c>
      <c r="AI729" s="1379"/>
      <c r="AJ729" s="1380"/>
      <c r="AK729" s="1314" t="s">
        <v>590</v>
      </c>
      <c r="AL729" s="1315"/>
      <c r="AM729" s="1315"/>
      <c r="AN729" s="1315"/>
      <c r="AO729" s="1316"/>
      <c r="AP729" s="3"/>
      <c r="AQ729" s="3"/>
      <c r="AR729" s="3"/>
      <c r="AS729" s="3"/>
      <c r="AY729" s="116"/>
      <c r="AZ729" s="118">
        <f t="shared" si="42"/>
        <v>2650</v>
      </c>
      <c r="BA729" s="3"/>
      <c r="BB729" s="3"/>
      <c r="BC729" s="3"/>
      <c r="BD729" s="3"/>
      <c r="BE729" s="204"/>
      <c r="BF729" s="294">
        <f t="shared" si="43"/>
        <v>1</v>
      </c>
      <c r="BG729" s="297">
        <f t="shared" si="13"/>
        <v>4.9261083743842365E-3</v>
      </c>
      <c r="BH729" s="298">
        <f t="shared" si="14"/>
        <v>3.4482758620689655E-3</v>
      </c>
      <c r="BI729" s="3"/>
      <c r="BJ729" s="3"/>
      <c r="BK729" s="3"/>
      <c r="BL729" s="3"/>
      <c r="BM729" s="3"/>
      <c r="BN729" s="3"/>
      <c r="BS729" s="294">
        <f t="shared" si="44"/>
        <v>1</v>
      </c>
      <c r="BT729" s="297">
        <f t="shared" si="16"/>
        <v>4.9261083743842365E-3</v>
      </c>
      <c r="BU729" s="298">
        <f t="shared" si="17"/>
        <v>2.9965610186820334E-3</v>
      </c>
      <c r="CC729" s="3"/>
      <c r="CD729" s="3"/>
      <c r="CE729" s="3"/>
      <c r="CF729" s="3"/>
      <c r="CG729" s="1468">
        <f t="shared" si="39"/>
        <v>0</v>
      </c>
      <c r="CH729" s="1470"/>
      <c r="CI729" s="1456">
        <f t="shared" si="45"/>
        <v>0</v>
      </c>
      <c r="CJ729" s="1458"/>
      <c r="CK729" s="1468">
        <f t="shared" si="18"/>
        <v>0</v>
      </c>
      <c r="CL729" s="1470"/>
      <c r="CM729" s="1456">
        <f t="shared" si="46"/>
        <v>0</v>
      </c>
      <c r="CN729" s="1458"/>
      <c r="CO729" s="3"/>
      <c r="CP729" s="1459">
        <f t="shared" si="47"/>
        <v>1</v>
      </c>
      <c r="CQ729" s="1460"/>
      <c r="CR729" s="1460"/>
      <c r="CS729" s="1460"/>
      <c r="CT729" s="1461"/>
      <c r="CU729" s="1462">
        <f t="shared" si="48"/>
        <v>0</v>
      </c>
      <c r="CV729" s="1462"/>
      <c r="CW729" s="1462"/>
      <c r="CX729" s="1462"/>
      <c r="CY729" s="1462"/>
      <c r="CZ729" s="1462">
        <f t="shared" si="49"/>
        <v>0</v>
      </c>
      <c r="DA729" s="1462"/>
      <c r="DB729" s="1462"/>
      <c r="DC729" s="1462"/>
      <c r="DD729" s="1462"/>
      <c r="DE729" s="1462">
        <f t="shared" si="50"/>
        <v>0</v>
      </c>
      <c r="DF729" s="1462"/>
      <c r="DG729" s="1462"/>
      <c r="DH729" s="1462"/>
      <c r="DI729" s="1462"/>
      <c r="DJ729" s="1462">
        <f t="shared" si="51"/>
        <v>0</v>
      </c>
      <c r="DK729" s="1462"/>
      <c r="DL729" s="1462"/>
      <c r="DM729" s="1462"/>
      <c r="DN729" s="1462"/>
      <c r="DO729" s="1462">
        <f t="shared" si="52"/>
        <v>0</v>
      </c>
      <c r="DP729" s="1462"/>
      <c r="DQ729" s="1462"/>
      <c r="DR729" s="1462"/>
      <c r="DS729" s="1462"/>
      <c r="DT729" s="6"/>
      <c r="DU729" s="1463">
        <f t="shared" si="53"/>
        <v>0</v>
      </c>
      <c r="DV729" s="1463"/>
      <c r="DW729" s="1463"/>
      <c r="DX729" s="1463"/>
      <c r="DY729" s="1463"/>
      <c r="DZ729" s="1463">
        <f t="shared" si="54"/>
        <v>0</v>
      </c>
      <c r="EA729" s="1463"/>
      <c r="EB729" s="1463"/>
      <c r="EC729" s="1463"/>
      <c r="ED729" s="1463"/>
      <c r="EE729" s="1463">
        <f t="shared" si="55"/>
        <v>0</v>
      </c>
      <c r="EF729" s="1463"/>
      <c r="EG729" s="1463"/>
      <c r="EH729" s="1463"/>
      <c r="EI729" s="1463"/>
      <c r="EJ729" s="1463">
        <f t="shared" si="56"/>
        <v>0</v>
      </c>
      <c r="EK729" s="1463"/>
      <c r="EL729" s="1463"/>
      <c r="EM729" s="1463"/>
      <c r="EN729" s="1463"/>
      <c r="EO729" s="1463">
        <f t="shared" si="57"/>
        <v>0</v>
      </c>
      <c r="EP729" s="1463"/>
      <c r="EQ729" s="1463"/>
      <c r="ER729" s="1463"/>
      <c r="ES729" s="1463"/>
      <c r="ET729" s="1463">
        <f t="shared" si="58"/>
        <v>0</v>
      </c>
      <c r="EU729" s="1463"/>
      <c r="EV729" s="1463"/>
      <c r="EW729" s="1463"/>
      <c r="EX729" s="1463"/>
      <c r="EZ729" s="1468">
        <f t="shared" si="59"/>
        <v>1577</v>
      </c>
      <c r="FA729" s="1469"/>
      <c r="FB729" s="1469"/>
      <c r="FC729" s="1469"/>
      <c r="FD729" s="1470"/>
      <c r="FE729" s="1468" t="str">
        <f t="shared" si="60"/>
        <v/>
      </c>
      <c r="FF729" s="1469"/>
      <c r="FG729" s="1469"/>
      <c r="FH729" s="1469"/>
      <c r="FI729" s="1470"/>
      <c r="FJ729" s="1468" t="str">
        <f t="shared" si="61"/>
        <v/>
      </c>
      <c r="FK729" s="1469"/>
      <c r="FL729" s="1469"/>
      <c r="FM729" s="1469"/>
      <c r="FN729" s="1470"/>
      <c r="FO729" s="1468" t="str">
        <f t="shared" si="62"/>
        <v/>
      </c>
      <c r="FP729" s="1469"/>
      <c r="FQ729" s="1469"/>
      <c r="FR729" s="1469"/>
      <c r="FS729" s="1470"/>
      <c r="FT729" s="1468" t="str">
        <f t="shared" si="63"/>
        <v/>
      </c>
      <c r="FU729" s="1469"/>
      <c r="FV729" s="1469"/>
      <c r="FW729" s="1469"/>
      <c r="FX729" s="1470"/>
      <c r="FY729" s="1468" t="str">
        <f t="shared" si="64"/>
        <v/>
      </c>
      <c r="FZ729" s="1469"/>
      <c r="GA729" s="1469"/>
      <c r="GB729" s="1469"/>
      <c r="GC729" s="1470"/>
    </row>
    <row r="730" spans="1:185" ht="12.95" customHeight="1">
      <c r="B730" s="1314" t="s">
        <v>325</v>
      </c>
      <c r="C730" s="1315"/>
      <c r="D730" s="1315"/>
      <c r="E730" s="1315"/>
      <c r="F730" s="1316"/>
      <c r="G730" s="1311">
        <v>8</v>
      </c>
      <c r="H730" s="1312"/>
      <c r="I730" s="1312"/>
      <c r="J730" s="1313"/>
      <c r="K730" s="1342">
        <v>429</v>
      </c>
      <c r="L730" s="1343"/>
      <c r="M730" s="1343"/>
      <c r="N730" s="1344"/>
      <c r="O730" s="1373">
        <f>852-T730</f>
        <v>804</v>
      </c>
      <c r="P730" s="1374"/>
      <c r="Q730" s="1374"/>
      <c r="R730" s="1374"/>
      <c r="S730" s="1375"/>
      <c r="T730" s="1373">
        <v>48</v>
      </c>
      <c r="U730" s="1374"/>
      <c r="V730" s="1374"/>
      <c r="W730" s="1375"/>
      <c r="X730" s="1370">
        <f t="shared" si="41"/>
        <v>852</v>
      </c>
      <c r="Y730" s="1371"/>
      <c r="Z730" s="1371"/>
      <c r="AA730" s="1371"/>
      <c r="AB730" s="1372"/>
      <c r="AC730" s="1550">
        <v>0.3</v>
      </c>
      <c r="AD730" s="1551"/>
      <c r="AE730" s="1551"/>
      <c r="AF730" s="1551"/>
      <c r="AG730" s="1552"/>
      <c r="AH730" s="1378">
        <f t="shared" si="38"/>
        <v>0.3</v>
      </c>
      <c r="AI730" s="1379"/>
      <c r="AJ730" s="1380"/>
      <c r="AK730" s="1314" t="s">
        <v>590</v>
      </c>
      <c r="AL730" s="1315"/>
      <c r="AM730" s="1315"/>
      <c r="AN730" s="1315"/>
      <c r="AO730" s="1316"/>
      <c r="AP730" s="3"/>
      <c r="AQ730" s="3"/>
      <c r="AR730" s="3"/>
      <c r="AS730" s="3"/>
      <c r="AY730" s="116"/>
      <c r="AZ730" s="118">
        <f t="shared" si="42"/>
        <v>2840</v>
      </c>
      <c r="BA730" s="3"/>
      <c r="BB730" s="3"/>
      <c r="BC730" s="3"/>
      <c r="BD730" s="3"/>
      <c r="BE730" s="204"/>
      <c r="BF730" s="294">
        <f t="shared" si="43"/>
        <v>8</v>
      </c>
      <c r="BG730" s="297">
        <f t="shared" si="13"/>
        <v>3.9408866995073892E-2</v>
      </c>
      <c r="BH730" s="298">
        <f t="shared" si="14"/>
        <v>1.1822660098522167E-2</v>
      </c>
      <c r="BI730" s="3"/>
      <c r="BJ730" s="3"/>
      <c r="BK730" s="3"/>
      <c r="BL730" s="3"/>
      <c r="BM730" s="3"/>
      <c r="BN730" s="3"/>
      <c r="BS730" s="294">
        <f t="shared" si="44"/>
        <v>8</v>
      </c>
      <c r="BT730" s="297">
        <f t="shared" si="16"/>
        <v>3.9408866995073892E-2</v>
      </c>
      <c r="BU730" s="298">
        <f t="shared" si="17"/>
        <v>1.1822660098522167E-2</v>
      </c>
      <c r="CC730" s="3"/>
      <c r="CD730" s="3"/>
      <c r="CE730" s="3"/>
      <c r="CF730" s="3"/>
      <c r="CG730" s="1468">
        <f t="shared" si="39"/>
        <v>0</v>
      </c>
      <c r="CH730" s="1470"/>
      <c r="CI730" s="1456">
        <f t="shared" si="45"/>
        <v>0</v>
      </c>
      <c r="CJ730" s="1458"/>
      <c r="CK730" s="1468">
        <f t="shared" si="18"/>
        <v>1</v>
      </c>
      <c r="CL730" s="1470"/>
      <c r="CM730" s="1456">
        <f t="shared" si="46"/>
        <v>8</v>
      </c>
      <c r="CN730" s="1458"/>
      <c r="CO730" s="3"/>
      <c r="CP730" s="1459">
        <f t="shared" si="47"/>
        <v>0</v>
      </c>
      <c r="CQ730" s="1460"/>
      <c r="CR730" s="1460"/>
      <c r="CS730" s="1460"/>
      <c r="CT730" s="1461"/>
      <c r="CU730" s="1462">
        <f t="shared" si="48"/>
        <v>8</v>
      </c>
      <c r="CV730" s="1462"/>
      <c r="CW730" s="1462"/>
      <c r="CX730" s="1462"/>
      <c r="CY730" s="1462"/>
      <c r="CZ730" s="1462">
        <f t="shared" si="49"/>
        <v>0</v>
      </c>
      <c r="DA730" s="1462"/>
      <c r="DB730" s="1462"/>
      <c r="DC730" s="1462"/>
      <c r="DD730" s="1462"/>
      <c r="DE730" s="1462">
        <f t="shared" si="50"/>
        <v>0</v>
      </c>
      <c r="DF730" s="1462"/>
      <c r="DG730" s="1462"/>
      <c r="DH730" s="1462"/>
      <c r="DI730" s="1462"/>
      <c r="DJ730" s="1462">
        <f t="shared" si="51"/>
        <v>0</v>
      </c>
      <c r="DK730" s="1462"/>
      <c r="DL730" s="1462"/>
      <c r="DM730" s="1462"/>
      <c r="DN730" s="1462"/>
      <c r="DO730" s="1462">
        <f t="shared" si="52"/>
        <v>0</v>
      </c>
      <c r="DP730" s="1462"/>
      <c r="DQ730" s="1462"/>
      <c r="DR730" s="1462"/>
      <c r="DS730" s="1462"/>
      <c r="DT730" s="6"/>
      <c r="DU730" s="1463">
        <f t="shared" si="53"/>
        <v>0</v>
      </c>
      <c r="DV730" s="1463"/>
      <c r="DW730" s="1463"/>
      <c r="DX730" s="1463"/>
      <c r="DY730" s="1463"/>
      <c r="DZ730" s="1463">
        <f t="shared" si="54"/>
        <v>8</v>
      </c>
      <c r="EA730" s="1463"/>
      <c r="EB730" s="1463"/>
      <c r="EC730" s="1463"/>
      <c r="ED730" s="1463"/>
      <c r="EE730" s="1463">
        <f t="shared" si="55"/>
        <v>0</v>
      </c>
      <c r="EF730" s="1463"/>
      <c r="EG730" s="1463"/>
      <c r="EH730" s="1463"/>
      <c r="EI730" s="1463"/>
      <c r="EJ730" s="1463">
        <f t="shared" si="56"/>
        <v>0</v>
      </c>
      <c r="EK730" s="1463"/>
      <c r="EL730" s="1463"/>
      <c r="EM730" s="1463"/>
      <c r="EN730" s="1463"/>
      <c r="EO730" s="1463">
        <f t="shared" si="57"/>
        <v>0</v>
      </c>
      <c r="EP730" s="1463"/>
      <c r="EQ730" s="1463"/>
      <c r="ER730" s="1463"/>
      <c r="ES730" s="1463"/>
      <c r="ET730" s="1463">
        <f t="shared" si="58"/>
        <v>0</v>
      </c>
      <c r="EU730" s="1463"/>
      <c r="EV730" s="1463"/>
      <c r="EW730" s="1463"/>
      <c r="EX730" s="1463"/>
      <c r="EZ730" s="1468" t="str">
        <f t="shared" si="59"/>
        <v/>
      </c>
      <c r="FA730" s="1469"/>
      <c r="FB730" s="1469"/>
      <c r="FC730" s="1469"/>
      <c r="FD730" s="1470"/>
      <c r="FE730" s="1468">
        <f t="shared" si="60"/>
        <v>804</v>
      </c>
      <c r="FF730" s="1469"/>
      <c r="FG730" s="1469"/>
      <c r="FH730" s="1469"/>
      <c r="FI730" s="1470"/>
      <c r="FJ730" s="1468" t="str">
        <f t="shared" si="61"/>
        <v/>
      </c>
      <c r="FK730" s="1469"/>
      <c r="FL730" s="1469"/>
      <c r="FM730" s="1469"/>
      <c r="FN730" s="1470"/>
      <c r="FO730" s="1468" t="str">
        <f t="shared" si="62"/>
        <v/>
      </c>
      <c r="FP730" s="1469"/>
      <c r="FQ730" s="1469"/>
      <c r="FR730" s="1469"/>
      <c r="FS730" s="1470"/>
      <c r="FT730" s="1468" t="str">
        <f t="shared" si="63"/>
        <v/>
      </c>
      <c r="FU730" s="1469"/>
      <c r="FV730" s="1469"/>
      <c r="FW730" s="1469"/>
      <c r="FX730" s="1470"/>
      <c r="FY730" s="1468" t="str">
        <f t="shared" si="64"/>
        <v/>
      </c>
      <c r="FZ730" s="1469"/>
      <c r="GA730" s="1469"/>
      <c r="GB730" s="1469"/>
      <c r="GC730" s="1470"/>
    </row>
    <row r="731" spans="1:185" ht="12.95" customHeight="1">
      <c r="B731" s="1314" t="s">
        <v>325</v>
      </c>
      <c r="C731" s="1315"/>
      <c r="D731" s="1315"/>
      <c r="E731" s="1315"/>
      <c r="F731" s="1316"/>
      <c r="G731" s="1311">
        <v>16</v>
      </c>
      <c r="H731" s="1312"/>
      <c r="I731" s="1312"/>
      <c r="J731" s="1313"/>
      <c r="K731" s="1342">
        <v>429</v>
      </c>
      <c r="L731" s="1343"/>
      <c r="M731" s="1343"/>
      <c r="N731" s="1344"/>
      <c r="O731" s="1373">
        <f>1420-T731</f>
        <v>1372</v>
      </c>
      <c r="P731" s="1374"/>
      <c r="Q731" s="1374"/>
      <c r="R731" s="1374"/>
      <c r="S731" s="1375"/>
      <c r="T731" s="1373">
        <v>48</v>
      </c>
      <c r="U731" s="1374"/>
      <c r="V731" s="1374"/>
      <c r="W731" s="1375"/>
      <c r="X731" s="1370">
        <f t="shared" si="41"/>
        <v>1420</v>
      </c>
      <c r="Y731" s="1371"/>
      <c r="Z731" s="1371"/>
      <c r="AA731" s="1371"/>
      <c r="AB731" s="1372"/>
      <c r="AC731" s="1550">
        <v>0.5</v>
      </c>
      <c r="AD731" s="1551"/>
      <c r="AE731" s="1551"/>
      <c r="AF731" s="1551"/>
      <c r="AG731" s="1552"/>
      <c r="AH731" s="1378">
        <f t="shared" si="38"/>
        <v>0.5</v>
      </c>
      <c r="AI731" s="1379"/>
      <c r="AJ731" s="1380"/>
      <c r="AK731" s="1314" t="s">
        <v>590</v>
      </c>
      <c r="AL731" s="1315"/>
      <c r="AM731" s="1315"/>
      <c r="AN731" s="1315"/>
      <c r="AO731" s="1316"/>
      <c r="AP731" s="3"/>
      <c r="AQ731" s="3"/>
      <c r="AR731" s="3"/>
      <c r="AS731" s="3"/>
      <c r="AY731" s="116"/>
      <c r="AZ731" s="118">
        <f t="shared" si="42"/>
        <v>2840</v>
      </c>
      <c r="BA731" s="3"/>
      <c r="BB731" s="3"/>
      <c r="BC731" s="3"/>
      <c r="BD731" s="3"/>
      <c r="BE731" s="204"/>
      <c r="BF731" s="294">
        <f t="shared" si="43"/>
        <v>16</v>
      </c>
      <c r="BG731" s="297">
        <f t="shared" si="13"/>
        <v>7.8817733990147784E-2</v>
      </c>
      <c r="BH731" s="298">
        <f t="shared" si="14"/>
        <v>3.9408866995073892E-2</v>
      </c>
      <c r="BI731" s="3"/>
      <c r="BJ731" s="3"/>
      <c r="BK731" s="3"/>
      <c r="BL731" s="3"/>
      <c r="BM731" s="3"/>
      <c r="BN731" s="3"/>
      <c r="BS731" s="294">
        <f t="shared" si="44"/>
        <v>16</v>
      </c>
      <c r="BT731" s="297">
        <f t="shared" si="16"/>
        <v>7.8817733990147784E-2</v>
      </c>
      <c r="BU731" s="298">
        <f t="shared" si="17"/>
        <v>3.9408866995073892E-2</v>
      </c>
      <c r="CC731" s="3"/>
      <c r="CD731" s="3"/>
      <c r="CE731" s="3"/>
      <c r="CF731" s="3"/>
      <c r="CG731" s="1468">
        <f t="shared" si="39"/>
        <v>1</v>
      </c>
      <c r="CH731" s="1470"/>
      <c r="CI731" s="1456">
        <f t="shared" si="45"/>
        <v>16</v>
      </c>
      <c r="CJ731" s="1458"/>
      <c r="CK731" s="1468">
        <f t="shared" si="18"/>
        <v>0</v>
      </c>
      <c r="CL731" s="1470"/>
      <c r="CM731" s="1456">
        <f t="shared" si="46"/>
        <v>0</v>
      </c>
      <c r="CN731" s="1458"/>
      <c r="CO731" s="3"/>
      <c r="CP731" s="1459">
        <f t="shared" si="47"/>
        <v>0</v>
      </c>
      <c r="CQ731" s="1460"/>
      <c r="CR731" s="1460"/>
      <c r="CS731" s="1460"/>
      <c r="CT731" s="1461"/>
      <c r="CU731" s="1462">
        <f t="shared" si="48"/>
        <v>16</v>
      </c>
      <c r="CV731" s="1462"/>
      <c r="CW731" s="1462"/>
      <c r="CX731" s="1462"/>
      <c r="CY731" s="1462"/>
      <c r="CZ731" s="1462">
        <f t="shared" si="49"/>
        <v>0</v>
      </c>
      <c r="DA731" s="1462"/>
      <c r="DB731" s="1462"/>
      <c r="DC731" s="1462"/>
      <c r="DD731" s="1462"/>
      <c r="DE731" s="1462">
        <f t="shared" si="50"/>
        <v>0</v>
      </c>
      <c r="DF731" s="1462"/>
      <c r="DG731" s="1462"/>
      <c r="DH731" s="1462"/>
      <c r="DI731" s="1462"/>
      <c r="DJ731" s="1462">
        <f t="shared" si="51"/>
        <v>0</v>
      </c>
      <c r="DK731" s="1462"/>
      <c r="DL731" s="1462"/>
      <c r="DM731" s="1462"/>
      <c r="DN731" s="1462"/>
      <c r="DO731" s="1462">
        <f t="shared" si="52"/>
        <v>0</v>
      </c>
      <c r="DP731" s="1462"/>
      <c r="DQ731" s="1462"/>
      <c r="DR731" s="1462"/>
      <c r="DS731" s="1462"/>
      <c r="DT731" s="6"/>
      <c r="DU731" s="1463">
        <f t="shared" si="53"/>
        <v>0</v>
      </c>
      <c r="DV731" s="1463"/>
      <c r="DW731" s="1463"/>
      <c r="DX731" s="1463"/>
      <c r="DY731" s="1463"/>
      <c r="DZ731" s="1463">
        <f t="shared" si="54"/>
        <v>0</v>
      </c>
      <c r="EA731" s="1463"/>
      <c r="EB731" s="1463"/>
      <c r="EC731" s="1463"/>
      <c r="ED731" s="1463"/>
      <c r="EE731" s="1463">
        <f t="shared" si="55"/>
        <v>0</v>
      </c>
      <c r="EF731" s="1463"/>
      <c r="EG731" s="1463"/>
      <c r="EH731" s="1463"/>
      <c r="EI731" s="1463"/>
      <c r="EJ731" s="1463">
        <f t="shared" si="56"/>
        <v>0</v>
      </c>
      <c r="EK731" s="1463"/>
      <c r="EL731" s="1463"/>
      <c r="EM731" s="1463"/>
      <c r="EN731" s="1463"/>
      <c r="EO731" s="1463">
        <f t="shared" si="57"/>
        <v>0</v>
      </c>
      <c r="EP731" s="1463"/>
      <c r="EQ731" s="1463"/>
      <c r="ER731" s="1463"/>
      <c r="ES731" s="1463"/>
      <c r="ET731" s="1463">
        <f t="shared" si="58"/>
        <v>0</v>
      </c>
      <c r="EU731" s="1463"/>
      <c r="EV731" s="1463"/>
      <c r="EW731" s="1463"/>
      <c r="EX731" s="1463"/>
      <c r="EZ731" s="1468" t="str">
        <f t="shared" si="59"/>
        <v/>
      </c>
      <c r="FA731" s="1469"/>
      <c r="FB731" s="1469"/>
      <c r="FC731" s="1469"/>
      <c r="FD731" s="1470"/>
      <c r="FE731" s="1468">
        <f t="shared" si="60"/>
        <v>1372</v>
      </c>
      <c r="FF731" s="1469"/>
      <c r="FG731" s="1469"/>
      <c r="FH731" s="1469"/>
      <c r="FI731" s="1470"/>
      <c r="FJ731" s="1468" t="str">
        <f t="shared" si="61"/>
        <v/>
      </c>
      <c r="FK731" s="1469"/>
      <c r="FL731" s="1469"/>
      <c r="FM731" s="1469"/>
      <c r="FN731" s="1470"/>
      <c r="FO731" s="1468" t="str">
        <f t="shared" si="62"/>
        <v/>
      </c>
      <c r="FP731" s="1469"/>
      <c r="FQ731" s="1469"/>
      <c r="FR731" s="1469"/>
      <c r="FS731" s="1470"/>
      <c r="FT731" s="1468" t="str">
        <f t="shared" si="63"/>
        <v/>
      </c>
      <c r="FU731" s="1469"/>
      <c r="FV731" s="1469"/>
      <c r="FW731" s="1469"/>
      <c r="FX731" s="1470"/>
      <c r="FY731" s="1468" t="str">
        <f t="shared" si="64"/>
        <v/>
      </c>
      <c r="FZ731" s="1469"/>
      <c r="GA731" s="1469"/>
      <c r="GB731" s="1469"/>
      <c r="GC731" s="1470"/>
    </row>
    <row r="732" spans="1:185" ht="12.95" customHeight="1">
      <c r="B732" s="1314" t="s">
        <v>325</v>
      </c>
      <c r="C732" s="1315"/>
      <c r="D732" s="1315"/>
      <c r="E732" s="1315"/>
      <c r="F732" s="1316"/>
      <c r="G732" s="1311">
        <v>47</v>
      </c>
      <c r="H732" s="1312"/>
      <c r="I732" s="1312"/>
      <c r="J732" s="1313"/>
      <c r="K732" s="1342">
        <v>429</v>
      </c>
      <c r="L732" s="1343"/>
      <c r="M732" s="1343"/>
      <c r="N732" s="1344"/>
      <c r="O732" s="1373">
        <f>1704-T732</f>
        <v>1656</v>
      </c>
      <c r="P732" s="1374"/>
      <c r="Q732" s="1374"/>
      <c r="R732" s="1374"/>
      <c r="S732" s="1375"/>
      <c r="T732" s="1373">
        <v>48</v>
      </c>
      <c r="U732" s="1374"/>
      <c r="V732" s="1374"/>
      <c r="W732" s="1375"/>
      <c r="X732" s="1370">
        <f t="shared" si="41"/>
        <v>1704</v>
      </c>
      <c r="Y732" s="1371"/>
      <c r="Z732" s="1371"/>
      <c r="AA732" s="1371"/>
      <c r="AB732" s="1372"/>
      <c r="AC732" s="1550">
        <v>0.6</v>
      </c>
      <c r="AD732" s="1551"/>
      <c r="AE732" s="1551"/>
      <c r="AF732" s="1551"/>
      <c r="AG732" s="1552"/>
      <c r="AH732" s="1378">
        <f t="shared" si="38"/>
        <v>0.6</v>
      </c>
      <c r="AI732" s="1379"/>
      <c r="AJ732" s="1380"/>
      <c r="AK732" s="1314" t="s">
        <v>590</v>
      </c>
      <c r="AL732" s="1315"/>
      <c r="AM732" s="1315"/>
      <c r="AN732" s="1315"/>
      <c r="AO732" s="1316"/>
      <c r="AP732" s="3"/>
      <c r="AQ732" s="3"/>
      <c r="AR732" s="3"/>
      <c r="AS732" s="3"/>
      <c r="AY732" s="116"/>
      <c r="AZ732" s="118">
        <f t="shared" si="42"/>
        <v>2840</v>
      </c>
      <c r="BA732" s="3"/>
      <c r="BB732" s="3"/>
      <c r="BC732" s="3"/>
      <c r="BD732" s="3"/>
      <c r="BE732" s="204"/>
      <c r="BF732" s="294">
        <f t="shared" si="43"/>
        <v>47</v>
      </c>
      <c r="BG732" s="297">
        <f t="shared" si="13"/>
        <v>0.23152709359605911</v>
      </c>
      <c r="BH732" s="298">
        <f t="shared" si="14"/>
        <v>0.13891625615763545</v>
      </c>
      <c r="BI732" s="3"/>
      <c r="BJ732" s="3"/>
      <c r="BK732" s="3"/>
      <c r="BL732" s="3"/>
      <c r="BM732" s="3"/>
      <c r="BN732" s="3"/>
      <c r="BS732" s="294">
        <f t="shared" si="44"/>
        <v>47</v>
      </c>
      <c r="BT732" s="297">
        <f t="shared" si="16"/>
        <v>0.23152709359605911</v>
      </c>
      <c r="BU732" s="298">
        <f t="shared" si="17"/>
        <v>0.13891625615763545</v>
      </c>
      <c r="CC732" s="3"/>
      <c r="CE732" s="3"/>
      <c r="CF732" s="3"/>
      <c r="CG732" s="1468">
        <f t="shared" si="39"/>
        <v>0</v>
      </c>
      <c r="CH732" s="1470"/>
      <c r="CI732" s="1456">
        <f t="shared" si="45"/>
        <v>0</v>
      </c>
      <c r="CJ732" s="1458"/>
      <c r="CK732" s="1468">
        <f t="shared" si="18"/>
        <v>0</v>
      </c>
      <c r="CL732" s="1470"/>
      <c r="CM732" s="1456">
        <f t="shared" si="46"/>
        <v>0</v>
      </c>
      <c r="CN732" s="1458"/>
      <c r="CO732" s="3"/>
      <c r="CP732" s="1459">
        <f t="shared" si="47"/>
        <v>0</v>
      </c>
      <c r="CQ732" s="1460"/>
      <c r="CR732" s="1460"/>
      <c r="CS732" s="1460"/>
      <c r="CT732" s="1461"/>
      <c r="CU732" s="1462">
        <f t="shared" si="48"/>
        <v>47</v>
      </c>
      <c r="CV732" s="1462"/>
      <c r="CW732" s="1462"/>
      <c r="CX732" s="1462"/>
      <c r="CY732" s="1462"/>
      <c r="CZ732" s="1462">
        <f t="shared" si="49"/>
        <v>0</v>
      </c>
      <c r="DA732" s="1462"/>
      <c r="DB732" s="1462"/>
      <c r="DC732" s="1462"/>
      <c r="DD732" s="1462"/>
      <c r="DE732" s="1462">
        <f t="shared" si="50"/>
        <v>0</v>
      </c>
      <c r="DF732" s="1462"/>
      <c r="DG732" s="1462"/>
      <c r="DH732" s="1462"/>
      <c r="DI732" s="1462"/>
      <c r="DJ732" s="1462">
        <f t="shared" si="51"/>
        <v>0</v>
      </c>
      <c r="DK732" s="1462"/>
      <c r="DL732" s="1462"/>
      <c r="DM732" s="1462"/>
      <c r="DN732" s="1462"/>
      <c r="DO732" s="1462">
        <f t="shared" si="52"/>
        <v>0</v>
      </c>
      <c r="DP732" s="1462"/>
      <c r="DQ732" s="1462"/>
      <c r="DR732" s="1462"/>
      <c r="DS732" s="1462"/>
      <c r="DT732" s="6"/>
      <c r="DU732" s="1463">
        <f t="shared" si="53"/>
        <v>0</v>
      </c>
      <c r="DV732" s="1463"/>
      <c r="DW732" s="1463"/>
      <c r="DX732" s="1463"/>
      <c r="DY732" s="1463"/>
      <c r="DZ732" s="1463">
        <f t="shared" si="54"/>
        <v>0</v>
      </c>
      <c r="EA732" s="1463"/>
      <c r="EB732" s="1463"/>
      <c r="EC732" s="1463"/>
      <c r="ED732" s="1463"/>
      <c r="EE732" s="1463">
        <f t="shared" si="55"/>
        <v>0</v>
      </c>
      <c r="EF732" s="1463"/>
      <c r="EG732" s="1463"/>
      <c r="EH732" s="1463"/>
      <c r="EI732" s="1463"/>
      <c r="EJ732" s="1463">
        <f t="shared" si="56"/>
        <v>0</v>
      </c>
      <c r="EK732" s="1463"/>
      <c r="EL732" s="1463"/>
      <c r="EM732" s="1463"/>
      <c r="EN732" s="1463"/>
      <c r="EO732" s="1463">
        <f t="shared" si="57"/>
        <v>0</v>
      </c>
      <c r="EP732" s="1463"/>
      <c r="EQ732" s="1463"/>
      <c r="ER732" s="1463"/>
      <c r="ES732" s="1463"/>
      <c r="ET732" s="1463">
        <f t="shared" si="58"/>
        <v>0</v>
      </c>
      <c r="EU732" s="1463"/>
      <c r="EV732" s="1463"/>
      <c r="EW732" s="1463"/>
      <c r="EX732" s="1463"/>
      <c r="EZ732" s="1468" t="str">
        <f t="shared" si="59"/>
        <v/>
      </c>
      <c r="FA732" s="1469"/>
      <c r="FB732" s="1469"/>
      <c r="FC732" s="1469"/>
      <c r="FD732" s="1470"/>
      <c r="FE732" s="1468">
        <f t="shared" si="60"/>
        <v>1656</v>
      </c>
      <c r="FF732" s="1469"/>
      <c r="FG732" s="1469"/>
      <c r="FH732" s="1469"/>
      <c r="FI732" s="1470"/>
      <c r="FJ732" s="1468" t="str">
        <f t="shared" si="61"/>
        <v/>
      </c>
      <c r="FK732" s="1469"/>
      <c r="FL732" s="1469"/>
      <c r="FM732" s="1469"/>
      <c r="FN732" s="1470"/>
      <c r="FO732" s="1468" t="str">
        <f t="shared" si="62"/>
        <v/>
      </c>
      <c r="FP732" s="1469"/>
      <c r="FQ732" s="1469"/>
      <c r="FR732" s="1469"/>
      <c r="FS732" s="1470"/>
      <c r="FT732" s="1468" t="str">
        <f t="shared" si="63"/>
        <v/>
      </c>
      <c r="FU732" s="1469"/>
      <c r="FV732" s="1469"/>
      <c r="FW732" s="1469"/>
      <c r="FX732" s="1470"/>
      <c r="FY732" s="1468" t="str">
        <f t="shared" si="64"/>
        <v/>
      </c>
      <c r="FZ732" s="1469"/>
      <c r="GA732" s="1469"/>
      <c r="GB732" s="1469"/>
      <c r="GC732" s="1470"/>
    </row>
    <row r="733" spans="1:185" ht="12.95" customHeight="1">
      <c r="B733" s="1314" t="s">
        <v>325</v>
      </c>
      <c r="C733" s="1315"/>
      <c r="D733" s="1315"/>
      <c r="E733" s="1315"/>
      <c r="F733" s="1316"/>
      <c r="G733" s="1311">
        <v>8</v>
      </c>
      <c r="H733" s="1312"/>
      <c r="I733" s="1312"/>
      <c r="J733" s="1313"/>
      <c r="K733" s="1342">
        <v>429</v>
      </c>
      <c r="L733" s="1343"/>
      <c r="M733" s="1343"/>
      <c r="N733" s="1344"/>
      <c r="O733" s="1373">
        <f>1829-T733</f>
        <v>1781</v>
      </c>
      <c r="P733" s="1374"/>
      <c r="Q733" s="1374"/>
      <c r="R733" s="1374"/>
      <c r="S733" s="1375"/>
      <c r="T733" s="1373">
        <v>48</v>
      </c>
      <c r="U733" s="1374"/>
      <c r="V733" s="1374"/>
      <c r="W733" s="1375"/>
      <c r="X733" s="1370">
        <f t="shared" si="41"/>
        <v>1829</v>
      </c>
      <c r="Y733" s="1371"/>
      <c r="Z733" s="1371"/>
      <c r="AA733" s="1371"/>
      <c r="AB733" s="1372"/>
      <c r="AC733" s="1550">
        <v>0.7</v>
      </c>
      <c r="AD733" s="1551"/>
      <c r="AE733" s="1551"/>
      <c r="AF733" s="1551"/>
      <c r="AG733" s="1552"/>
      <c r="AH733" s="1378">
        <f t="shared" si="38"/>
        <v>0.64401408450704223</v>
      </c>
      <c r="AI733" s="1379"/>
      <c r="AJ733" s="1380"/>
      <c r="AK733" s="1314" t="s">
        <v>590</v>
      </c>
      <c r="AL733" s="1315"/>
      <c r="AM733" s="1315"/>
      <c r="AN733" s="1315"/>
      <c r="AO733" s="1316"/>
      <c r="AP733" s="3"/>
      <c r="AQ733" s="3"/>
      <c r="AR733" s="3"/>
      <c r="AS733" s="3"/>
      <c r="AY733" s="1080"/>
      <c r="AZ733" s="118">
        <f t="shared" si="42"/>
        <v>2840</v>
      </c>
      <c r="BA733" s="3"/>
      <c r="BB733" s="3"/>
      <c r="BC733" s="3"/>
      <c r="BD733" s="3"/>
      <c r="BE733" s="204"/>
      <c r="BF733" s="294">
        <f t="shared" si="43"/>
        <v>8</v>
      </c>
      <c r="BG733" s="297">
        <f t="shared" si="13"/>
        <v>3.9408866995073892E-2</v>
      </c>
      <c r="BH733" s="298">
        <f t="shared" si="14"/>
        <v>2.7586206896551724E-2</v>
      </c>
      <c r="BI733" s="3"/>
      <c r="BJ733" s="3"/>
      <c r="BK733" s="3"/>
      <c r="BL733" s="3"/>
      <c r="BM733" s="3"/>
      <c r="BN733" s="3"/>
      <c r="BS733" s="294">
        <f t="shared" si="44"/>
        <v>8</v>
      </c>
      <c r="BT733" s="297">
        <f t="shared" si="16"/>
        <v>3.9408866995073892E-2</v>
      </c>
      <c r="BU733" s="298">
        <f t="shared" si="17"/>
        <v>2.5379865399292306E-2</v>
      </c>
      <c r="BV733" s="292"/>
      <c r="BW733" s="3"/>
      <c r="BX733" s="3"/>
      <c r="BY733" s="3"/>
      <c r="BZ733" s="3"/>
      <c r="CA733" s="3"/>
      <c r="CB733" s="3"/>
      <c r="CC733" s="3"/>
      <c r="CE733" s="3"/>
      <c r="CF733" s="3"/>
      <c r="CG733" s="1468">
        <f t="shared" si="39"/>
        <v>0</v>
      </c>
      <c r="CH733" s="1470"/>
      <c r="CI733" s="1456">
        <f t="shared" si="45"/>
        <v>0</v>
      </c>
      <c r="CJ733" s="1458"/>
      <c r="CK733" s="1468">
        <f t="shared" si="18"/>
        <v>0</v>
      </c>
      <c r="CL733" s="1470"/>
      <c r="CM733" s="1456">
        <f t="shared" si="46"/>
        <v>0</v>
      </c>
      <c r="CN733" s="1458"/>
      <c r="CO733" s="3"/>
      <c r="CP733" s="1459">
        <f t="shared" si="47"/>
        <v>0</v>
      </c>
      <c r="CQ733" s="1460"/>
      <c r="CR733" s="1460"/>
      <c r="CS733" s="1460"/>
      <c r="CT733" s="1461"/>
      <c r="CU733" s="1462">
        <f t="shared" si="48"/>
        <v>8</v>
      </c>
      <c r="CV733" s="1462"/>
      <c r="CW733" s="1462"/>
      <c r="CX733" s="1462"/>
      <c r="CY733" s="1462"/>
      <c r="CZ733" s="1462">
        <f t="shared" si="49"/>
        <v>0</v>
      </c>
      <c r="DA733" s="1462"/>
      <c r="DB733" s="1462"/>
      <c r="DC733" s="1462"/>
      <c r="DD733" s="1462"/>
      <c r="DE733" s="1462">
        <f t="shared" si="50"/>
        <v>0</v>
      </c>
      <c r="DF733" s="1462"/>
      <c r="DG733" s="1462"/>
      <c r="DH733" s="1462"/>
      <c r="DI733" s="1462"/>
      <c r="DJ733" s="1462">
        <f t="shared" si="51"/>
        <v>0</v>
      </c>
      <c r="DK733" s="1462"/>
      <c r="DL733" s="1462"/>
      <c r="DM733" s="1462"/>
      <c r="DN733" s="1462"/>
      <c r="DO733" s="1462">
        <f t="shared" si="52"/>
        <v>0</v>
      </c>
      <c r="DP733" s="1462"/>
      <c r="DQ733" s="1462"/>
      <c r="DR733" s="1462"/>
      <c r="DS733" s="1462"/>
      <c r="DT733" s="6"/>
      <c r="DU733" s="1463">
        <f t="shared" si="53"/>
        <v>0</v>
      </c>
      <c r="DV733" s="1463"/>
      <c r="DW733" s="1463"/>
      <c r="DX733" s="1463"/>
      <c r="DY733" s="1463"/>
      <c r="DZ733" s="1463">
        <f t="shared" si="54"/>
        <v>0</v>
      </c>
      <c r="EA733" s="1463"/>
      <c r="EB733" s="1463"/>
      <c r="EC733" s="1463"/>
      <c r="ED733" s="1463"/>
      <c r="EE733" s="1463">
        <f t="shared" si="55"/>
        <v>0</v>
      </c>
      <c r="EF733" s="1463"/>
      <c r="EG733" s="1463"/>
      <c r="EH733" s="1463"/>
      <c r="EI733" s="1463"/>
      <c r="EJ733" s="1463">
        <f t="shared" si="56"/>
        <v>0</v>
      </c>
      <c r="EK733" s="1463"/>
      <c r="EL733" s="1463"/>
      <c r="EM733" s="1463"/>
      <c r="EN733" s="1463"/>
      <c r="EO733" s="1463">
        <f t="shared" si="57"/>
        <v>0</v>
      </c>
      <c r="EP733" s="1463"/>
      <c r="EQ733" s="1463"/>
      <c r="ER733" s="1463"/>
      <c r="ES733" s="1463"/>
      <c r="ET733" s="1463">
        <f t="shared" si="58"/>
        <v>0</v>
      </c>
      <c r="EU733" s="1463"/>
      <c r="EV733" s="1463"/>
      <c r="EW733" s="1463"/>
      <c r="EX733" s="1463"/>
      <c r="EZ733" s="1468" t="str">
        <f t="shared" si="59"/>
        <v/>
      </c>
      <c r="FA733" s="1469"/>
      <c r="FB733" s="1469"/>
      <c r="FC733" s="1469"/>
      <c r="FD733" s="1470"/>
      <c r="FE733" s="1468">
        <f t="shared" si="60"/>
        <v>1781</v>
      </c>
      <c r="FF733" s="1469"/>
      <c r="FG733" s="1469"/>
      <c r="FH733" s="1469"/>
      <c r="FI733" s="1470"/>
      <c r="FJ733" s="1468" t="str">
        <f t="shared" si="61"/>
        <v/>
      </c>
      <c r="FK733" s="1469"/>
      <c r="FL733" s="1469"/>
      <c r="FM733" s="1469"/>
      <c r="FN733" s="1470"/>
      <c r="FO733" s="1468" t="str">
        <f t="shared" si="62"/>
        <v/>
      </c>
      <c r="FP733" s="1469"/>
      <c r="FQ733" s="1469"/>
      <c r="FR733" s="1469"/>
      <c r="FS733" s="1470"/>
      <c r="FT733" s="1468" t="str">
        <f t="shared" si="63"/>
        <v/>
      </c>
      <c r="FU733" s="1469"/>
      <c r="FV733" s="1469"/>
      <c r="FW733" s="1469"/>
      <c r="FX733" s="1470"/>
      <c r="FY733" s="1468" t="str">
        <f t="shared" si="64"/>
        <v/>
      </c>
      <c r="FZ733" s="1469"/>
      <c r="GA733" s="1469"/>
      <c r="GB733" s="1469"/>
      <c r="GC733" s="1470"/>
    </row>
    <row r="734" spans="1:185" ht="12.95" customHeight="1">
      <c r="B734" s="1314" t="s">
        <v>163</v>
      </c>
      <c r="C734" s="1315"/>
      <c r="D734" s="1315"/>
      <c r="E734" s="1315"/>
      <c r="F734" s="1316"/>
      <c r="G734" s="1311">
        <v>12</v>
      </c>
      <c r="H734" s="1312"/>
      <c r="I734" s="1312"/>
      <c r="J734" s="1313"/>
      <c r="K734" s="1342">
        <v>646</v>
      </c>
      <c r="L734" s="1343"/>
      <c r="M734" s="1343"/>
      <c r="N734" s="1344"/>
      <c r="O734" s="1373">
        <f>1021.8-T734</f>
        <v>959.8</v>
      </c>
      <c r="P734" s="1374"/>
      <c r="Q734" s="1374"/>
      <c r="R734" s="1374"/>
      <c r="S734" s="1375"/>
      <c r="T734" s="1373">
        <v>62</v>
      </c>
      <c r="U734" s="1374"/>
      <c r="V734" s="1374"/>
      <c r="W734" s="1375"/>
      <c r="X734" s="1370">
        <f t="shared" si="41"/>
        <v>1021.8</v>
      </c>
      <c r="Y734" s="1371"/>
      <c r="Z734" s="1371"/>
      <c r="AA734" s="1371"/>
      <c r="AB734" s="1372"/>
      <c r="AC734" s="1550">
        <v>0.3</v>
      </c>
      <c r="AD734" s="1551"/>
      <c r="AE734" s="1551"/>
      <c r="AF734" s="1551"/>
      <c r="AG734" s="1552"/>
      <c r="AH734" s="1378">
        <f t="shared" si="38"/>
        <v>0.3</v>
      </c>
      <c r="AI734" s="1379"/>
      <c r="AJ734" s="1380"/>
      <c r="AK734" s="1314" t="s">
        <v>590</v>
      </c>
      <c r="AL734" s="1315"/>
      <c r="AM734" s="1315"/>
      <c r="AN734" s="1315"/>
      <c r="AO734" s="1316"/>
      <c r="AP734" s="3"/>
      <c r="AQ734" s="3"/>
      <c r="AR734" s="3"/>
      <c r="AS734" s="3"/>
      <c r="AY734" s="1080"/>
      <c r="AZ734" s="118">
        <f t="shared" si="42"/>
        <v>3406</v>
      </c>
      <c r="BA734" s="3"/>
      <c r="BB734" s="3"/>
      <c r="BC734" s="3"/>
      <c r="BD734" s="3"/>
      <c r="BE734" s="204"/>
      <c r="BF734" s="294">
        <f t="shared" si="43"/>
        <v>12</v>
      </c>
      <c r="BG734" s="297">
        <f t="shared" si="13"/>
        <v>5.9113300492610835E-2</v>
      </c>
      <c r="BH734" s="298">
        <f t="shared" si="14"/>
        <v>1.7733990147783249E-2</v>
      </c>
      <c r="BI734" s="3"/>
      <c r="BJ734" s="3"/>
      <c r="BK734" s="3"/>
      <c r="BL734" s="3"/>
      <c r="BM734" s="3"/>
      <c r="BN734" s="3"/>
      <c r="BS734" s="294">
        <f t="shared" si="44"/>
        <v>12</v>
      </c>
      <c r="BT734" s="297">
        <f t="shared" si="16"/>
        <v>5.9113300492610835E-2</v>
      </c>
      <c r="BU734" s="298">
        <f t="shared" si="17"/>
        <v>1.7733990147783249E-2</v>
      </c>
      <c r="BV734" s="3"/>
      <c r="BW734" s="3"/>
      <c r="BX734" s="3"/>
      <c r="BY734" s="3"/>
      <c r="BZ734" s="3"/>
      <c r="CA734" s="3"/>
      <c r="CB734" s="3"/>
      <c r="CC734" s="3"/>
      <c r="CE734" s="3"/>
      <c r="CF734" s="3"/>
      <c r="CG734" s="1468">
        <f t="shared" si="39"/>
        <v>0</v>
      </c>
      <c r="CH734" s="1470"/>
      <c r="CI734" s="1456">
        <f t="shared" si="45"/>
        <v>0</v>
      </c>
      <c r="CJ734" s="1458"/>
      <c r="CK734" s="1468">
        <f t="shared" si="18"/>
        <v>1</v>
      </c>
      <c r="CL734" s="1470"/>
      <c r="CM734" s="1456">
        <f t="shared" si="46"/>
        <v>12</v>
      </c>
      <c r="CN734" s="1458"/>
      <c r="CO734" s="3"/>
      <c r="CP734" s="1459">
        <f t="shared" si="47"/>
        <v>0</v>
      </c>
      <c r="CQ734" s="1460"/>
      <c r="CR734" s="1460"/>
      <c r="CS734" s="1460"/>
      <c r="CT734" s="1461"/>
      <c r="CU734" s="1462">
        <f t="shared" si="48"/>
        <v>0</v>
      </c>
      <c r="CV734" s="1462"/>
      <c r="CW734" s="1462"/>
      <c r="CX734" s="1462"/>
      <c r="CY734" s="1462"/>
      <c r="CZ734" s="1462">
        <f t="shared" si="49"/>
        <v>12</v>
      </c>
      <c r="DA734" s="1462"/>
      <c r="DB734" s="1462"/>
      <c r="DC734" s="1462"/>
      <c r="DD734" s="1462"/>
      <c r="DE734" s="1462">
        <f t="shared" si="50"/>
        <v>0</v>
      </c>
      <c r="DF734" s="1462"/>
      <c r="DG734" s="1462"/>
      <c r="DH734" s="1462"/>
      <c r="DI734" s="1462"/>
      <c r="DJ734" s="1462">
        <f t="shared" si="51"/>
        <v>0</v>
      </c>
      <c r="DK734" s="1462"/>
      <c r="DL734" s="1462"/>
      <c r="DM734" s="1462"/>
      <c r="DN734" s="1462"/>
      <c r="DO734" s="1462">
        <f t="shared" si="52"/>
        <v>0</v>
      </c>
      <c r="DP734" s="1462"/>
      <c r="DQ734" s="1462"/>
      <c r="DR734" s="1462"/>
      <c r="DS734" s="1462"/>
      <c r="DT734" s="6"/>
      <c r="DU734" s="1463">
        <f t="shared" si="53"/>
        <v>0</v>
      </c>
      <c r="DV734" s="1463"/>
      <c r="DW734" s="1463"/>
      <c r="DX734" s="1463"/>
      <c r="DY734" s="1463"/>
      <c r="DZ734" s="1463">
        <f t="shared" si="54"/>
        <v>0</v>
      </c>
      <c r="EA734" s="1463"/>
      <c r="EB734" s="1463"/>
      <c r="EC734" s="1463"/>
      <c r="ED734" s="1463"/>
      <c r="EE734" s="1463">
        <f t="shared" si="55"/>
        <v>12</v>
      </c>
      <c r="EF734" s="1463"/>
      <c r="EG734" s="1463"/>
      <c r="EH734" s="1463"/>
      <c r="EI734" s="1463"/>
      <c r="EJ734" s="1463">
        <f t="shared" si="56"/>
        <v>0</v>
      </c>
      <c r="EK734" s="1463"/>
      <c r="EL734" s="1463"/>
      <c r="EM734" s="1463"/>
      <c r="EN734" s="1463"/>
      <c r="EO734" s="1463">
        <f t="shared" si="57"/>
        <v>0</v>
      </c>
      <c r="EP734" s="1463"/>
      <c r="EQ734" s="1463"/>
      <c r="ER734" s="1463"/>
      <c r="ES734" s="1463"/>
      <c r="ET734" s="1463">
        <f t="shared" si="58"/>
        <v>0</v>
      </c>
      <c r="EU734" s="1463"/>
      <c r="EV734" s="1463"/>
      <c r="EW734" s="1463"/>
      <c r="EX734" s="1463"/>
      <c r="EY734" s="4"/>
      <c r="EZ734" s="1468" t="str">
        <f t="shared" si="59"/>
        <v/>
      </c>
      <c r="FA734" s="1469"/>
      <c r="FB734" s="1469"/>
      <c r="FC734" s="1469"/>
      <c r="FD734" s="1470"/>
      <c r="FE734" s="1468" t="str">
        <f t="shared" si="60"/>
        <v/>
      </c>
      <c r="FF734" s="1469"/>
      <c r="FG734" s="1469"/>
      <c r="FH734" s="1469"/>
      <c r="FI734" s="1470"/>
      <c r="FJ734" s="1468">
        <f t="shared" si="61"/>
        <v>959.8</v>
      </c>
      <c r="FK734" s="1469"/>
      <c r="FL734" s="1469"/>
      <c r="FM734" s="1469"/>
      <c r="FN734" s="1470"/>
      <c r="FO734" s="1468" t="str">
        <f t="shared" si="62"/>
        <v/>
      </c>
      <c r="FP734" s="1469"/>
      <c r="FQ734" s="1469"/>
      <c r="FR734" s="1469"/>
      <c r="FS734" s="1470"/>
      <c r="FT734" s="1468" t="str">
        <f t="shared" si="63"/>
        <v/>
      </c>
      <c r="FU734" s="1469"/>
      <c r="FV734" s="1469"/>
      <c r="FW734" s="1469"/>
      <c r="FX734" s="1470"/>
      <c r="FY734" s="1468" t="str">
        <f t="shared" si="64"/>
        <v/>
      </c>
      <c r="FZ734" s="1469"/>
      <c r="GA734" s="1469"/>
      <c r="GB734" s="1469"/>
      <c r="GC734" s="1470"/>
    </row>
    <row r="735" spans="1:185" ht="12.95" customHeight="1">
      <c r="A735" s="4"/>
      <c r="B735" s="1314" t="s">
        <v>163</v>
      </c>
      <c r="C735" s="1315"/>
      <c r="D735" s="1315"/>
      <c r="E735" s="1315"/>
      <c r="F735" s="1316"/>
      <c r="G735" s="1311">
        <v>24</v>
      </c>
      <c r="H735" s="1312"/>
      <c r="I735" s="1312"/>
      <c r="J735" s="1313"/>
      <c r="K735" s="1342">
        <v>646</v>
      </c>
      <c r="L735" s="1343"/>
      <c r="M735" s="1343"/>
      <c r="N735" s="1344"/>
      <c r="O735" s="1373">
        <f>1703-T735</f>
        <v>1641</v>
      </c>
      <c r="P735" s="1374"/>
      <c r="Q735" s="1374"/>
      <c r="R735" s="1374"/>
      <c r="S735" s="1375"/>
      <c r="T735" s="1373">
        <v>62</v>
      </c>
      <c r="U735" s="1374"/>
      <c r="V735" s="1374"/>
      <c r="W735" s="1375"/>
      <c r="X735" s="1370">
        <f t="shared" si="41"/>
        <v>1703</v>
      </c>
      <c r="Y735" s="1371"/>
      <c r="Z735" s="1371"/>
      <c r="AA735" s="1371"/>
      <c r="AB735" s="1372"/>
      <c r="AC735" s="1550">
        <v>0.5</v>
      </c>
      <c r="AD735" s="1551"/>
      <c r="AE735" s="1551"/>
      <c r="AF735" s="1551"/>
      <c r="AG735" s="1552"/>
      <c r="AH735" s="1378">
        <f t="shared" si="38"/>
        <v>0.5</v>
      </c>
      <c r="AI735" s="1379"/>
      <c r="AJ735" s="1380"/>
      <c r="AK735" s="1314" t="s">
        <v>590</v>
      </c>
      <c r="AL735" s="1315"/>
      <c r="AM735" s="1315"/>
      <c r="AN735" s="1315"/>
      <c r="AO735" s="1316"/>
      <c r="AP735" s="3"/>
      <c r="AQ735" s="3"/>
      <c r="AR735" s="3"/>
      <c r="AS735" s="3"/>
      <c r="AY735" s="1080"/>
      <c r="AZ735" s="118">
        <f t="shared" si="42"/>
        <v>3406</v>
      </c>
      <c r="BA735" s="3"/>
      <c r="BB735" s="3"/>
      <c r="BC735" s="3"/>
      <c r="BD735" s="3"/>
      <c r="BE735" s="204"/>
      <c r="BF735" s="294">
        <f t="shared" si="43"/>
        <v>24</v>
      </c>
      <c r="BG735" s="297">
        <f t="shared" si="13"/>
        <v>0.11822660098522167</v>
      </c>
      <c r="BH735" s="298">
        <f t="shared" si="14"/>
        <v>5.9113300492610835E-2</v>
      </c>
      <c r="BI735" s="3"/>
      <c r="BJ735" s="3"/>
      <c r="BK735" s="3"/>
      <c r="BL735" s="3"/>
      <c r="BM735" s="3"/>
      <c r="BN735" s="3"/>
      <c r="BS735" s="294">
        <f t="shared" si="44"/>
        <v>24</v>
      </c>
      <c r="BT735" s="297">
        <f t="shared" si="16"/>
        <v>0.11822660098522167</v>
      </c>
      <c r="BU735" s="298">
        <f t="shared" si="17"/>
        <v>5.9113300492610835E-2</v>
      </c>
      <c r="BV735" s="3"/>
      <c r="BW735" s="3"/>
      <c r="BX735" s="3"/>
      <c r="BY735" s="3"/>
      <c r="BZ735" s="3"/>
      <c r="CA735" s="3"/>
      <c r="CB735" s="3"/>
      <c r="CC735" s="3"/>
      <c r="CE735" s="3"/>
      <c r="CF735" s="3"/>
      <c r="CG735" s="1468">
        <f t="shared" si="39"/>
        <v>1</v>
      </c>
      <c r="CH735" s="1470"/>
      <c r="CI735" s="1456">
        <f t="shared" si="45"/>
        <v>24</v>
      </c>
      <c r="CJ735" s="1458"/>
      <c r="CK735" s="1468">
        <f t="shared" si="18"/>
        <v>0</v>
      </c>
      <c r="CL735" s="1470"/>
      <c r="CM735" s="1456">
        <f t="shared" si="46"/>
        <v>0</v>
      </c>
      <c r="CN735" s="1458"/>
      <c r="CO735" s="3"/>
      <c r="CP735" s="1459">
        <f t="shared" si="47"/>
        <v>0</v>
      </c>
      <c r="CQ735" s="1460"/>
      <c r="CR735" s="1460"/>
      <c r="CS735" s="1460"/>
      <c r="CT735" s="1461"/>
      <c r="CU735" s="1462">
        <f t="shared" si="48"/>
        <v>0</v>
      </c>
      <c r="CV735" s="1462"/>
      <c r="CW735" s="1462"/>
      <c r="CX735" s="1462"/>
      <c r="CY735" s="1462"/>
      <c r="CZ735" s="1462">
        <f t="shared" si="49"/>
        <v>24</v>
      </c>
      <c r="DA735" s="1462"/>
      <c r="DB735" s="1462"/>
      <c r="DC735" s="1462"/>
      <c r="DD735" s="1462"/>
      <c r="DE735" s="1462">
        <f t="shared" si="50"/>
        <v>0</v>
      </c>
      <c r="DF735" s="1462"/>
      <c r="DG735" s="1462"/>
      <c r="DH735" s="1462"/>
      <c r="DI735" s="1462"/>
      <c r="DJ735" s="1462">
        <f t="shared" si="51"/>
        <v>0</v>
      </c>
      <c r="DK735" s="1462"/>
      <c r="DL735" s="1462"/>
      <c r="DM735" s="1462"/>
      <c r="DN735" s="1462"/>
      <c r="DO735" s="1462">
        <f t="shared" si="52"/>
        <v>0</v>
      </c>
      <c r="DP735" s="1462"/>
      <c r="DQ735" s="1462"/>
      <c r="DR735" s="1462"/>
      <c r="DS735" s="1462"/>
      <c r="DT735" s="6"/>
      <c r="DU735" s="1463">
        <f t="shared" si="53"/>
        <v>0</v>
      </c>
      <c r="DV735" s="1463"/>
      <c r="DW735" s="1463"/>
      <c r="DX735" s="1463"/>
      <c r="DY735" s="1463"/>
      <c r="DZ735" s="1463">
        <f t="shared" si="54"/>
        <v>0</v>
      </c>
      <c r="EA735" s="1463"/>
      <c r="EB735" s="1463"/>
      <c r="EC735" s="1463"/>
      <c r="ED735" s="1463"/>
      <c r="EE735" s="1463">
        <f t="shared" si="55"/>
        <v>0</v>
      </c>
      <c r="EF735" s="1463"/>
      <c r="EG735" s="1463"/>
      <c r="EH735" s="1463"/>
      <c r="EI735" s="1463"/>
      <c r="EJ735" s="1463">
        <f t="shared" si="56"/>
        <v>0</v>
      </c>
      <c r="EK735" s="1463"/>
      <c r="EL735" s="1463"/>
      <c r="EM735" s="1463"/>
      <c r="EN735" s="1463"/>
      <c r="EO735" s="1463">
        <f t="shared" si="57"/>
        <v>0</v>
      </c>
      <c r="EP735" s="1463"/>
      <c r="EQ735" s="1463"/>
      <c r="ER735" s="1463"/>
      <c r="ES735" s="1463"/>
      <c r="ET735" s="1463">
        <f t="shared" si="58"/>
        <v>0</v>
      </c>
      <c r="EU735" s="1463"/>
      <c r="EV735" s="1463"/>
      <c r="EW735" s="1463"/>
      <c r="EX735" s="1463"/>
      <c r="EY735" s="4"/>
      <c r="EZ735" s="1468" t="str">
        <f t="shared" si="59"/>
        <v/>
      </c>
      <c r="FA735" s="1469"/>
      <c r="FB735" s="1469"/>
      <c r="FC735" s="1469"/>
      <c r="FD735" s="1470"/>
      <c r="FE735" s="1468" t="str">
        <f t="shared" si="60"/>
        <v/>
      </c>
      <c r="FF735" s="1469"/>
      <c r="FG735" s="1469"/>
      <c r="FH735" s="1469"/>
      <c r="FI735" s="1470"/>
      <c r="FJ735" s="1468">
        <f t="shared" si="61"/>
        <v>1641</v>
      </c>
      <c r="FK735" s="1469"/>
      <c r="FL735" s="1469"/>
      <c r="FM735" s="1469"/>
      <c r="FN735" s="1470"/>
      <c r="FO735" s="1468" t="str">
        <f t="shared" si="62"/>
        <v/>
      </c>
      <c r="FP735" s="1469"/>
      <c r="FQ735" s="1469"/>
      <c r="FR735" s="1469"/>
      <c r="FS735" s="1470"/>
      <c r="FT735" s="1468" t="str">
        <f t="shared" si="63"/>
        <v/>
      </c>
      <c r="FU735" s="1469"/>
      <c r="FV735" s="1469"/>
      <c r="FW735" s="1469"/>
      <c r="FX735" s="1470"/>
      <c r="FY735" s="1468" t="str">
        <f t="shared" si="64"/>
        <v/>
      </c>
      <c r="FZ735" s="1469"/>
      <c r="GA735" s="1469"/>
      <c r="GB735" s="1469"/>
      <c r="GC735" s="1470"/>
    </row>
    <row r="736" spans="1:185" ht="12.95" customHeight="1">
      <c r="A736" s="4"/>
      <c r="B736" s="1314" t="s">
        <v>163</v>
      </c>
      <c r="C736" s="1315"/>
      <c r="D736" s="1315"/>
      <c r="E736" s="1315"/>
      <c r="F736" s="1316"/>
      <c r="G736" s="1311">
        <v>45</v>
      </c>
      <c r="H736" s="1312"/>
      <c r="I736" s="1312"/>
      <c r="J736" s="1313"/>
      <c r="K736" s="1342">
        <v>646</v>
      </c>
      <c r="L736" s="1343"/>
      <c r="M736" s="1343"/>
      <c r="N736" s="1344"/>
      <c r="O736" s="1373">
        <f>2043.6-T736</f>
        <v>1981.6</v>
      </c>
      <c r="P736" s="1374"/>
      <c r="Q736" s="1374"/>
      <c r="R736" s="1374"/>
      <c r="S736" s="1375"/>
      <c r="T736" s="1373">
        <v>62</v>
      </c>
      <c r="U736" s="1374"/>
      <c r="V736" s="1374"/>
      <c r="W736" s="1375"/>
      <c r="X736" s="1370">
        <f t="shared" si="41"/>
        <v>2043.6</v>
      </c>
      <c r="Y736" s="1371"/>
      <c r="Z736" s="1371"/>
      <c r="AA736" s="1371"/>
      <c r="AB736" s="1372"/>
      <c r="AC736" s="1550">
        <v>0.6</v>
      </c>
      <c r="AD736" s="1551"/>
      <c r="AE736" s="1551"/>
      <c r="AF736" s="1551"/>
      <c r="AG736" s="1552"/>
      <c r="AH736" s="1378">
        <f t="shared" si="38"/>
        <v>0.6</v>
      </c>
      <c r="AI736" s="1379"/>
      <c r="AJ736" s="1380"/>
      <c r="AK736" s="1314" t="s">
        <v>590</v>
      </c>
      <c r="AL736" s="1315"/>
      <c r="AM736" s="1315"/>
      <c r="AN736" s="1315"/>
      <c r="AO736" s="1316"/>
      <c r="AP736" s="3"/>
      <c r="AQ736" s="3"/>
      <c r="AR736" s="3"/>
      <c r="AS736" s="3"/>
      <c r="AY736" s="1080"/>
      <c r="AZ736" s="118">
        <f t="shared" si="42"/>
        <v>3406</v>
      </c>
      <c r="BA736" s="3"/>
      <c r="BB736" s="3"/>
      <c r="BC736" s="3"/>
      <c r="BD736" s="3"/>
      <c r="BE736" s="204"/>
      <c r="BF736" s="294">
        <f t="shared" si="43"/>
        <v>45</v>
      </c>
      <c r="BG736" s="297">
        <f t="shared" si="13"/>
        <v>0.22167487684729065</v>
      </c>
      <c r="BH736" s="298">
        <f t="shared" si="14"/>
        <v>0.13300492610837439</v>
      </c>
      <c r="BI736" s="3"/>
      <c r="BJ736" s="3"/>
      <c r="BK736" s="3"/>
      <c r="BL736" s="3"/>
      <c r="BM736" s="3"/>
      <c r="BN736" s="3"/>
      <c r="BS736" s="294">
        <f t="shared" si="44"/>
        <v>45</v>
      </c>
      <c r="BT736" s="297">
        <f t="shared" si="16"/>
        <v>0.22167487684729065</v>
      </c>
      <c r="BU736" s="298">
        <f t="shared" si="17"/>
        <v>0.13300492610837439</v>
      </c>
      <c r="BV736" s="3"/>
      <c r="BW736" s="3"/>
      <c r="BX736" s="3"/>
      <c r="BY736" s="3"/>
      <c r="BZ736" s="3"/>
      <c r="CA736" s="3"/>
      <c r="CB736" s="3"/>
      <c r="CC736" s="3"/>
      <c r="CE736" s="3"/>
      <c r="CF736" s="3"/>
      <c r="CG736" s="1468">
        <f t="shared" si="39"/>
        <v>0</v>
      </c>
      <c r="CH736" s="1470"/>
      <c r="CI736" s="1456">
        <f t="shared" si="45"/>
        <v>0</v>
      </c>
      <c r="CJ736" s="1458"/>
      <c r="CK736" s="1468">
        <f t="shared" si="18"/>
        <v>0</v>
      </c>
      <c r="CL736" s="1470"/>
      <c r="CM736" s="1456">
        <f t="shared" si="46"/>
        <v>0</v>
      </c>
      <c r="CN736" s="1458"/>
      <c r="CO736" s="3"/>
      <c r="CP736" s="1459">
        <f t="shared" si="47"/>
        <v>0</v>
      </c>
      <c r="CQ736" s="1460"/>
      <c r="CR736" s="1460"/>
      <c r="CS736" s="1460"/>
      <c r="CT736" s="1461"/>
      <c r="CU736" s="1462">
        <f t="shared" si="48"/>
        <v>0</v>
      </c>
      <c r="CV736" s="1462"/>
      <c r="CW736" s="1462"/>
      <c r="CX736" s="1462"/>
      <c r="CY736" s="1462"/>
      <c r="CZ736" s="1462">
        <f t="shared" si="49"/>
        <v>45</v>
      </c>
      <c r="DA736" s="1462"/>
      <c r="DB736" s="1462"/>
      <c r="DC736" s="1462"/>
      <c r="DD736" s="1462"/>
      <c r="DE736" s="1462">
        <f t="shared" si="50"/>
        <v>0</v>
      </c>
      <c r="DF736" s="1462"/>
      <c r="DG736" s="1462"/>
      <c r="DH736" s="1462"/>
      <c r="DI736" s="1462"/>
      <c r="DJ736" s="1462">
        <f t="shared" si="51"/>
        <v>0</v>
      </c>
      <c r="DK736" s="1462"/>
      <c r="DL736" s="1462"/>
      <c r="DM736" s="1462"/>
      <c r="DN736" s="1462"/>
      <c r="DO736" s="1462">
        <f t="shared" si="52"/>
        <v>0</v>
      </c>
      <c r="DP736" s="1462"/>
      <c r="DQ736" s="1462"/>
      <c r="DR736" s="1462"/>
      <c r="DS736" s="1462"/>
      <c r="DT736" s="6"/>
      <c r="DU736" s="1463">
        <f t="shared" si="53"/>
        <v>0</v>
      </c>
      <c r="DV736" s="1463"/>
      <c r="DW736" s="1463"/>
      <c r="DX736" s="1463"/>
      <c r="DY736" s="1463"/>
      <c r="DZ736" s="1463">
        <f t="shared" si="54"/>
        <v>0</v>
      </c>
      <c r="EA736" s="1463"/>
      <c r="EB736" s="1463"/>
      <c r="EC736" s="1463"/>
      <c r="ED736" s="1463"/>
      <c r="EE736" s="1463">
        <f t="shared" si="55"/>
        <v>0</v>
      </c>
      <c r="EF736" s="1463"/>
      <c r="EG736" s="1463"/>
      <c r="EH736" s="1463"/>
      <c r="EI736" s="1463"/>
      <c r="EJ736" s="1463">
        <f t="shared" si="56"/>
        <v>0</v>
      </c>
      <c r="EK736" s="1463"/>
      <c r="EL736" s="1463"/>
      <c r="EM736" s="1463"/>
      <c r="EN736" s="1463"/>
      <c r="EO736" s="1463">
        <f t="shared" si="57"/>
        <v>0</v>
      </c>
      <c r="EP736" s="1463"/>
      <c r="EQ736" s="1463"/>
      <c r="ER736" s="1463"/>
      <c r="ES736" s="1463"/>
      <c r="ET736" s="1463">
        <f t="shared" si="58"/>
        <v>0</v>
      </c>
      <c r="EU736" s="1463"/>
      <c r="EV736" s="1463"/>
      <c r="EW736" s="1463"/>
      <c r="EX736" s="1463"/>
      <c r="EY736" s="4"/>
      <c r="EZ736" s="1468" t="str">
        <f t="shared" si="59"/>
        <v/>
      </c>
      <c r="FA736" s="1469"/>
      <c r="FB736" s="1469"/>
      <c r="FC736" s="1469"/>
      <c r="FD736" s="1470"/>
      <c r="FE736" s="1468" t="str">
        <f t="shared" si="60"/>
        <v/>
      </c>
      <c r="FF736" s="1469"/>
      <c r="FG736" s="1469"/>
      <c r="FH736" s="1469"/>
      <c r="FI736" s="1470"/>
      <c r="FJ736" s="1468">
        <f t="shared" si="61"/>
        <v>1981.6</v>
      </c>
      <c r="FK736" s="1469"/>
      <c r="FL736" s="1469"/>
      <c r="FM736" s="1469"/>
      <c r="FN736" s="1470"/>
      <c r="FO736" s="1468" t="str">
        <f t="shared" si="62"/>
        <v/>
      </c>
      <c r="FP736" s="1469"/>
      <c r="FQ736" s="1469"/>
      <c r="FR736" s="1469"/>
      <c r="FS736" s="1470"/>
      <c r="FT736" s="1468" t="str">
        <f t="shared" si="63"/>
        <v/>
      </c>
      <c r="FU736" s="1469"/>
      <c r="FV736" s="1469"/>
      <c r="FW736" s="1469"/>
      <c r="FX736" s="1470"/>
      <c r="FY736" s="1468" t="str">
        <f t="shared" si="64"/>
        <v/>
      </c>
      <c r="FZ736" s="1469"/>
      <c r="GA736" s="1469"/>
      <c r="GB736" s="1469"/>
      <c r="GC736" s="1470"/>
    </row>
    <row r="737" spans="1:185" ht="12.95" customHeight="1">
      <c r="A737" s="4"/>
      <c r="B737" s="1314" t="s">
        <v>163</v>
      </c>
      <c r="C737" s="1315"/>
      <c r="D737" s="1315"/>
      <c r="E737" s="1315"/>
      <c r="F737" s="1316"/>
      <c r="G737" s="1311">
        <v>39</v>
      </c>
      <c r="H737" s="1312"/>
      <c r="I737" s="1312"/>
      <c r="J737" s="1313"/>
      <c r="K737" s="1342">
        <v>646</v>
      </c>
      <c r="L737" s="1343"/>
      <c r="M737" s="1343"/>
      <c r="N737" s="1344"/>
      <c r="O737" s="1373">
        <f>2193.6-T737</f>
        <v>2131.6</v>
      </c>
      <c r="P737" s="1374"/>
      <c r="Q737" s="1374"/>
      <c r="R737" s="1374"/>
      <c r="S737" s="1375"/>
      <c r="T737" s="1373">
        <v>62</v>
      </c>
      <c r="U737" s="1374"/>
      <c r="V737" s="1374"/>
      <c r="W737" s="1375"/>
      <c r="X737" s="1370">
        <f t="shared" si="41"/>
        <v>2193.6</v>
      </c>
      <c r="Y737" s="1371"/>
      <c r="Z737" s="1371"/>
      <c r="AA737" s="1371"/>
      <c r="AB737" s="1372"/>
      <c r="AC737" s="1550">
        <v>0.7</v>
      </c>
      <c r="AD737" s="1551"/>
      <c r="AE737" s="1551"/>
      <c r="AF737" s="1551"/>
      <c r="AG737" s="1552"/>
      <c r="AH737" s="1378">
        <f t="shared" si="38"/>
        <v>0.64403992953611267</v>
      </c>
      <c r="AI737" s="1379"/>
      <c r="AJ737" s="1380"/>
      <c r="AK737" s="1314" t="s">
        <v>590</v>
      </c>
      <c r="AL737" s="1315"/>
      <c r="AM737" s="1315"/>
      <c r="AN737" s="1315"/>
      <c r="AO737" s="1316"/>
      <c r="AP737" s="3"/>
      <c r="AQ737" s="3"/>
      <c r="AR737" s="3"/>
      <c r="AS737" s="3"/>
      <c r="AY737" s="1080"/>
      <c r="AZ737" s="118">
        <f t="shared" si="42"/>
        <v>3406</v>
      </c>
      <c r="BA737" s="3"/>
      <c r="BB737" s="3"/>
      <c r="BC737" s="3"/>
      <c r="BD737" s="3"/>
      <c r="BE737" s="204"/>
      <c r="BF737" s="294">
        <f t="shared" si="43"/>
        <v>39</v>
      </c>
      <c r="BG737" s="297">
        <f t="shared" si="13"/>
        <v>0.19211822660098521</v>
      </c>
      <c r="BH737" s="298">
        <f t="shared" si="14"/>
        <v>0.13448275862068965</v>
      </c>
      <c r="BI737" s="3"/>
      <c r="BJ737" s="3"/>
      <c r="BK737" s="3"/>
      <c r="BL737" s="3"/>
      <c r="BM737" s="3"/>
      <c r="BN737" s="3"/>
      <c r="BS737" s="294">
        <f t="shared" si="44"/>
        <v>39</v>
      </c>
      <c r="BT737" s="297">
        <f t="shared" si="16"/>
        <v>0.19211822660098521</v>
      </c>
      <c r="BU737" s="298">
        <f t="shared" si="17"/>
        <v>0.12373180912270144</v>
      </c>
      <c r="BV737" s="3"/>
      <c r="BW737" s="3"/>
      <c r="BX737" s="3"/>
      <c r="BY737" s="3"/>
      <c r="BZ737" s="3"/>
      <c r="CA737" s="3"/>
      <c r="CB737" s="3"/>
      <c r="CC737" s="3"/>
      <c r="CE737" s="3"/>
      <c r="CF737" s="3"/>
      <c r="CG737" s="1468">
        <f t="shared" si="39"/>
        <v>0</v>
      </c>
      <c r="CH737" s="1470"/>
      <c r="CI737" s="1456">
        <f t="shared" si="45"/>
        <v>0</v>
      </c>
      <c r="CJ737" s="1458"/>
      <c r="CK737" s="1468">
        <f t="shared" si="18"/>
        <v>0</v>
      </c>
      <c r="CL737" s="1470"/>
      <c r="CM737" s="1456">
        <f t="shared" si="46"/>
        <v>0</v>
      </c>
      <c r="CN737" s="1458"/>
      <c r="CO737" s="3"/>
      <c r="CP737" s="1459">
        <f t="shared" si="47"/>
        <v>0</v>
      </c>
      <c r="CQ737" s="1460"/>
      <c r="CR737" s="1460"/>
      <c r="CS737" s="1460"/>
      <c r="CT737" s="1461"/>
      <c r="CU737" s="1462">
        <f t="shared" si="48"/>
        <v>0</v>
      </c>
      <c r="CV737" s="1462"/>
      <c r="CW737" s="1462"/>
      <c r="CX737" s="1462"/>
      <c r="CY737" s="1462"/>
      <c r="CZ737" s="1462">
        <f t="shared" si="49"/>
        <v>39</v>
      </c>
      <c r="DA737" s="1462"/>
      <c r="DB737" s="1462"/>
      <c r="DC737" s="1462"/>
      <c r="DD737" s="1462"/>
      <c r="DE737" s="1462">
        <f t="shared" si="50"/>
        <v>0</v>
      </c>
      <c r="DF737" s="1462"/>
      <c r="DG737" s="1462"/>
      <c r="DH737" s="1462"/>
      <c r="DI737" s="1462"/>
      <c r="DJ737" s="1462">
        <f t="shared" si="51"/>
        <v>0</v>
      </c>
      <c r="DK737" s="1462"/>
      <c r="DL737" s="1462"/>
      <c r="DM737" s="1462"/>
      <c r="DN737" s="1462"/>
      <c r="DO737" s="1462">
        <f t="shared" si="52"/>
        <v>0</v>
      </c>
      <c r="DP737" s="1462"/>
      <c r="DQ737" s="1462"/>
      <c r="DR737" s="1462"/>
      <c r="DS737" s="1462"/>
      <c r="DT737" s="6"/>
      <c r="DU737" s="1463">
        <f t="shared" si="53"/>
        <v>0</v>
      </c>
      <c r="DV737" s="1463"/>
      <c r="DW737" s="1463"/>
      <c r="DX737" s="1463"/>
      <c r="DY737" s="1463"/>
      <c r="DZ737" s="1463">
        <f t="shared" si="54"/>
        <v>0</v>
      </c>
      <c r="EA737" s="1463"/>
      <c r="EB737" s="1463"/>
      <c r="EC737" s="1463"/>
      <c r="ED737" s="1463"/>
      <c r="EE737" s="1463">
        <f t="shared" si="55"/>
        <v>0</v>
      </c>
      <c r="EF737" s="1463"/>
      <c r="EG737" s="1463"/>
      <c r="EH737" s="1463"/>
      <c r="EI737" s="1463"/>
      <c r="EJ737" s="1463">
        <f t="shared" si="56"/>
        <v>0</v>
      </c>
      <c r="EK737" s="1463"/>
      <c r="EL737" s="1463"/>
      <c r="EM737" s="1463"/>
      <c r="EN737" s="1463"/>
      <c r="EO737" s="1463">
        <f t="shared" si="57"/>
        <v>0</v>
      </c>
      <c r="EP737" s="1463"/>
      <c r="EQ737" s="1463"/>
      <c r="ER737" s="1463"/>
      <c r="ES737" s="1463"/>
      <c r="ET737" s="1463">
        <f t="shared" si="58"/>
        <v>0</v>
      </c>
      <c r="EU737" s="1463"/>
      <c r="EV737" s="1463"/>
      <c r="EW737" s="1463"/>
      <c r="EX737" s="1463"/>
      <c r="EZ737" s="1468" t="str">
        <f t="shared" si="59"/>
        <v/>
      </c>
      <c r="FA737" s="1469"/>
      <c r="FB737" s="1469"/>
      <c r="FC737" s="1469"/>
      <c r="FD737" s="1470"/>
      <c r="FE737" s="1468" t="str">
        <f t="shared" si="60"/>
        <v/>
      </c>
      <c r="FF737" s="1469"/>
      <c r="FG737" s="1469"/>
      <c r="FH737" s="1469"/>
      <c r="FI737" s="1470"/>
      <c r="FJ737" s="1468">
        <f t="shared" si="61"/>
        <v>2131.6</v>
      </c>
      <c r="FK737" s="1469"/>
      <c r="FL737" s="1469"/>
      <c r="FM737" s="1469"/>
      <c r="FN737" s="1470"/>
      <c r="FO737" s="1468" t="str">
        <f t="shared" si="62"/>
        <v/>
      </c>
      <c r="FP737" s="1469"/>
      <c r="FQ737" s="1469"/>
      <c r="FR737" s="1469"/>
      <c r="FS737" s="1470"/>
      <c r="FT737" s="1468" t="str">
        <f t="shared" si="63"/>
        <v/>
      </c>
      <c r="FU737" s="1469"/>
      <c r="FV737" s="1469"/>
      <c r="FW737" s="1469"/>
      <c r="FX737" s="1470"/>
      <c r="FY737" s="1468" t="str">
        <f t="shared" si="64"/>
        <v/>
      </c>
      <c r="FZ737" s="1469"/>
      <c r="GA737" s="1469"/>
      <c r="GB737" s="1469"/>
      <c r="GC737" s="1470"/>
    </row>
    <row r="738" spans="1:185" ht="12.95" customHeight="1">
      <c r="B738" s="1314"/>
      <c r="C738" s="1315"/>
      <c r="D738" s="1315"/>
      <c r="E738" s="1315"/>
      <c r="F738" s="1316"/>
      <c r="G738" s="1311"/>
      <c r="H738" s="1312"/>
      <c r="I738" s="1312"/>
      <c r="J738" s="1313"/>
      <c r="K738" s="1342"/>
      <c r="L738" s="1343"/>
      <c r="M738" s="1343"/>
      <c r="N738" s="1344"/>
      <c r="O738" s="1373"/>
      <c r="P738" s="1374"/>
      <c r="Q738" s="1374"/>
      <c r="R738" s="1374"/>
      <c r="S738" s="1375"/>
      <c r="T738" s="1373"/>
      <c r="U738" s="1374"/>
      <c r="V738" s="1374"/>
      <c r="W738" s="1375"/>
      <c r="X738" s="1370">
        <f t="shared" si="10"/>
        <v>0</v>
      </c>
      <c r="Y738" s="1371"/>
      <c r="Z738" s="1371"/>
      <c r="AA738" s="1371"/>
      <c r="AB738" s="1372"/>
      <c r="AC738" s="1550"/>
      <c r="AD738" s="1551"/>
      <c r="AE738" s="1551"/>
      <c r="AF738" s="1551"/>
      <c r="AG738" s="1552"/>
      <c r="AH738" s="1378" t="str">
        <f t="shared" si="38"/>
        <v/>
      </c>
      <c r="AI738" s="1379"/>
      <c r="AJ738" s="1380"/>
      <c r="AK738" s="1314" t="s">
        <v>590</v>
      </c>
      <c r="AL738" s="1315"/>
      <c r="AM738" s="1315"/>
      <c r="AN738" s="1315"/>
      <c r="AO738" s="1316"/>
      <c r="AP738" s="3"/>
      <c r="AQ738" s="3"/>
      <c r="AR738" s="3"/>
      <c r="AS738" s="3"/>
      <c r="AY738" s="1080"/>
      <c r="AZ738" s="118" t="str">
        <f t="shared" si="11"/>
        <v>N/A</v>
      </c>
      <c r="BA738" s="3"/>
      <c r="BB738" s="3"/>
      <c r="BC738" s="3"/>
      <c r="BD738" s="3"/>
      <c r="BE738" s="204"/>
      <c r="BF738" s="294">
        <f t="shared" si="12"/>
        <v>0</v>
      </c>
      <c r="BG738" s="297">
        <f t="shared" si="13"/>
        <v>0</v>
      </c>
      <c r="BH738" s="298" t="str">
        <f t="shared" si="14"/>
        <v/>
      </c>
      <c r="BI738" s="3"/>
      <c r="BJ738" s="3"/>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468">
        <f t="shared" si="39"/>
        <v>0</v>
      </c>
      <c r="CH738" s="1470"/>
      <c r="CI738" s="1456">
        <f t="shared" si="40"/>
        <v>0</v>
      </c>
      <c r="CJ738" s="1458"/>
      <c r="CK738" s="1468">
        <f t="shared" si="18"/>
        <v>0</v>
      </c>
      <c r="CL738" s="1470"/>
      <c r="CM738" s="1456">
        <f t="shared" si="19"/>
        <v>0</v>
      </c>
      <c r="CN738" s="1458"/>
      <c r="CO738" s="3"/>
      <c r="CP738" s="1459">
        <f t="shared" si="20"/>
        <v>0</v>
      </c>
      <c r="CQ738" s="1460"/>
      <c r="CR738" s="1460"/>
      <c r="CS738" s="1460"/>
      <c r="CT738" s="1461"/>
      <c r="CU738" s="1462">
        <f t="shared" si="21"/>
        <v>0</v>
      </c>
      <c r="CV738" s="1462"/>
      <c r="CW738" s="1462"/>
      <c r="CX738" s="1462"/>
      <c r="CY738" s="1462"/>
      <c r="CZ738" s="1462">
        <f t="shared" si="22"/>
        <v>0</v>
      </c>
      <c r="DA738" s="1462"/>
      <c r="DB738" s="1462"/>
      <c r="DC738" s="1462"/>
      <c r="DD738" s="1462"/>
      <c r="DE738" s="1462">
        <f t="shared" si="23"/>
        <v>0</v>
      </c>
      <c r="DF738" s="1462"/>
      <c r="DG738" s="1462"/>
      <c r="DH738" s="1462"/>
      <c r="DI738" s="1462"/>
      <c r="DJ738" s="1462">
        <f t="shared" si="24"/>
        <v>0</v>
      </c>
      <c r="DK738" s="1462"/>
      <c r="DL738" s="1462"/>
      <c r="DM738" s="1462"/>
      <c r="DN738" s="1462"/>
      <c r="DO738" s="1462">
        <f t="shared" si="25"/>
        <v>0</v>
      </c>
      <c r="DP738" s="1462"/>
      <c r="DQ738" s="1462"/>
      <c r="DR738" s="1462"/>
      <c r="DS738" s="1462"/>
      <c r="DT738" s="6"/>
      <c r="DU738" s="1463">
        <f t="shared" si="26"/>
        <v>0</v>
      </c>
      <c r="DV738" s="1463"/>
      <c r="DW738" s="1463"/>
      <c r="DX738" s="1463"/>
      <c r="DY738" s="1463"/>
      <c r="DZ738" s="1463">
        <f t="shared" si="27"/>
        <v>0</v>
      </c>
      <c r="EA738" s="1463"/>
      <c r="EB738" s="1463"/>
      <c r="EC738" s="1463"/>
      <c r="ED738" s="1463"/>
      <c r="EE738" s="1463">
        <f t="shared" si="28"/>
        <v>0</v>
      </c>
      <c r="EF738" s="1463"/>
      <c r="EG738" s="1463"/>
      <c r="EH738" s="1463"/>
      <c r="EI738" s="1463"/>
      <c r="EJ738" s="1463">
        <f t="shared" si="29"/>
        <v>0</v>
      </c>
      <c r="EK738" s="1463"/>
      <c r="EL738" s="1463"/>
      <c r="EM738" s="1463"/>
      <c r="EN738" s="1463"/>
      <c r="EO738" s="1463">
        <f t="shared" si="30"/>
        <v>0</v>
      </c>
      <c r="EP738" s="1463"/>
      <c r="EQ738" s="1463"/>
      <c r="ER738" s="1463"/>
      <c r="ES738" s="1463"/>
      <c r="ET738" s="1463">
        <f t="shared" si="31"/>
        <v>0</v>
      </c>
      <c r="EU738" s="1463"/>
      <c r="EV738" s="1463"/>
      <c r="EW738" s="1463"/>
      <c r="EX738" s="1463"/>
      <c r="EZ738" s="1468" t="str">
        <f t="shared" si="32"/>
        <v/>
      </c>
      <c r="FA738" s="1469"/>
      <c r="FB738" s="1469"/>
      <c r="FC738" s="1469"/>
      <c r="FD738" s="1470"/>
      <c r="FE738" s="1468" t="str">
        <f t="shared" si="33"/>
        <v/>
      </c>
      <c r="FF738" s="1469"/>
      <c r="FG738" s="1469"/>
      <c r="FH738" s="1469"/>
      <c r="FI738" s="1470"/>
      <c r="FJ738" s="1468" t="str">
        <f t="shared" si="34"/>
        <v/>
      </c>
      <c r="FK738" s="1469"/>
      <c r="FL738" s="1469"/>
      <c r="FM738" s="1469"/>
      <c r="FN738" s="1470"/>
      <c r="FO738" s="1468" t="str">
        <f t="shared" si="35"/>
        <v/>
      </c>
      <c r="FP738" s="1469"/>
      <c r="FQ738" s="1469"/>
      <c r="FR738" s="1469"/>
      <c r="FS738" s="1470"/>
      <c r="FT738" s="1468" t="str">
        <f t="shared" si="36"/>
        <v/>
      </c>
      <c r="FU738" s="1469"/>
      <c r="FV738" s="1469"/>
      <c r="FW738" s="1469"/>
      <c r="FX738" s="1470"/>
      <c r="FY738" s="1468" t="str">
        <f t="shared" si="37"/>
        <v/>
      </c>
      <c r="FZ738" s="1469"/>
      <c r="GA738" s="1469"/>
      <c r="GB738" s="1469"/>
      <c r="GC738" s="1470"/>
    </row>
    <row r="739" spans="1:185" ht="12.95" customHeight="1">
      <c r="B739" s="1314"/>
      <c r="C739" s="1315"/>
      <c r="D739" s="1315"/>
      <c r="E739" s="1315"/>
      <c r="F739" s="1316"/>
      <c r="G739" s="1311"/>
      <c r="H739" s="1312"/>
      <c r="I739" s="1312"/>
      <c r="J739" s="1313"/>
      <c r="K739" s="1342"/>
      <c r="L739" s="1343"/>
      <c r="M739" s="1343"/>
      <c r="N739" s="1344"/>
      <c r="O739" s="1373"/>
      <c r="P739" s="1374"/>
      <c r="Q739" s="1374"/>
      <c r="R739" s="1374"/>
      <c r="S739" s="1375"/>
      <c r="T739" s="1373"/>
      <c r="U739" s="1374"/>
      <c r="V739" s="1374"/>
      <c r="W739" s="1375"/>
      <c r="X739" s="1370">
        <f t="shared" si="10"/>
        <v>0</v>
      </c>
      <c r="Y739" s="1371"/>
      <c r="Z739" s="1371"/>
      <c r="AA739" s="1371"/>
      <c r="AB739" s="1372"/>
      <c r="AC739" s="1550"/>
      <c r="AD739" s="1551"/>
      <c r="AE739" s="1551"/>
      <c r="AF739" s="1551"/>
      <c r="AG739" s="1552"/>
      <c r="AH739" s="1378" t="str">
        <f t="shared" si="38"/>
        <v/>
      </c>
      <c r="AI739" s="1379"/>
      <c r="AJ739" s="1380"/>
      <c r="AK739" s="1314" t="s">
        <v>590</v>
      </c>
      <c r="AL739" s="1315"/>
      <c r="AM739" s="1315"/>
      <c r="AN739" s="1315"/>
      <c r="AO739" s="1316"/>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468">
        <f t="shared" si="39"/>
        <v>0</v>
      </c>
      <c r="CH739" s="1470"/>
      <c r="CI739" s="1456">
        <f t="shared" si="40"/>
        <v>0</v>
      </c>
      <c r="CJ739" s="1458"/>
      <c r="CK739" s="1468">
        <f t="shared" si="18"/>
        <v>0</v>
      </c>
      <c r="CL739" s="1470"/>
      <c r="CM739" s="1456">
        <f t="shared" si="19"/>
        <v>0</v>
      </c>
      <c r="CN739" s="1458"/>
      <c r="CO739" s="3"/>
      <c r="CP739" s="1459">
        <f t="shared" si="20"/>
        <v>0</v>
      </c>
      <c r="CQ739" s="1460"/>
      <c r="CR739" s="1460"/>
      <c r="CS739" s="1460"/>
      <c r="CT739" s="1461"/>
      <c r="CU739" s="1462">
        <f t="shared" si="21"/>
        <v>0</v>
      </c>
      <c r="CV739" s="1462"/>
      <c r="CW739" s="1462"/>
      <c r="CX739" s="1462"/>
      <c r="CY739" s="1462"/>
      <c r="CZ739" s="1462">
        <f t="shared" si="22"/>
        <v>0</v>
      </c>
      <c r="DA739" s="1462"/>
      <c r="DB739" s="1462"/>
      <c r="DC739" s="1462"/>
      <c r="DD739" s="1462"/>
      <c r="DE739" s="1462">
        <f t="shared" si="23"/>
        <v>0</v>
      </c>
      <c r="DF739" s="1462"/>
      <c r="DG739" s="1462"/>
      <c r="DH739" s="1462"/>
      <c r="DI739" s="1462"/>
      <c r="DJ739" s="1462">
        <f t="shared" si="24"/>
        <v>0</v>
      </c>
      <c r="DK739" s="1462"/>
      <c r="DL739" s="1462"/>
      <c r="DM739" s="1462"/>
      <c r="DN739" s="1462"/>
      <c r="DO739" s="1462">
        <f t="shared" si="25"/>
        <v>0</v>
      </c>
      <c r="DP739" s="1462"/>
      <c r="DQ739" s="1462"/>
      <c r="DR739" s="1462"/>
      <c r="DS739" s="1462"/>
      <c r="DT739" s="6"/>
      <c r="DU739" s="1463">
        <f t="shared" si="26"/>
        <v>0</v>
      </c>
      <c r="DV739" s="1463"/>
      <c r="DW739" s="1463"/>
      <c r="DX739" s="1463"/>
      <c r="DY739" s="1463"/>
      <c r="DZ739" s="1463">
        <f t="shared" si="27"/>
        <v>0</v>
      </c>
      <c r="EA739" s="1463"/>
      <c r="EB739" s="1463"/>
      <c r="EC739" s="1463"/>
      <c r="ED739" s="1463"/>
      <c r="EE739" s="1463">
        <f t="shared" si="28"/>
        <v>0</v>
      </c>
      <c r="EF739" s="1463"/>
      <c r="EG739" s="1463"/>
      <c r="EH739" s="1463"/>
      <c r="EI739" s="1463"/>
      <c r="EJ739" s="1463">
        <f t="shared" si="29"/>
        <v>0</v>
      </c>
      <c r="EK739" s="1463"/>
      <c r="EL739" s="1463"/>
      <c r="EM739" s="1463"/>
      <c r="EN739" s="1463"/>
      <c r="EO739" s="1463">
        <f t="shared" si="30"/>
        <v>0</v>
      </c>
      <c r="EP739" s="1463"/>
      <c r="EQ739" s="1463"/>
      <c r="ER739" s="1463"/>
      <c r="ES739" s="1463"/>
      <c r="ET739" s="1463">
        <f t="shared" si="31"/>
        <v>0</v>
      </c>
      <c r="EU739" s="1463"/>
      <c r="EV739" s="1463"/>
      <c r="EW739" s="1463"/>
      <c r="EX739" s="1463"/>
      <c r="EZ739" s="1468" t="str">
        <f t="shared" si="32"/>
        <v/>
      </c>
      <c r="FA739" s="1469"/>
      <c r="FB739" s="1469"/>
      <c r="FC739" s="1469"/>
      <c r="FD739" s="1470"/>
      <c r="FE739" s="1468" t="str">
        <f t="shared" si="33"/>
        <v/>
      </c>
      <c r="FF739" s="1469"/>
      <c r="FG739" s="1469"/>
      <c r="FH739" s="1469"/>
      <c r="FI739" s="1470"/>
      <c r="FJ739" s="1468" t="str">
        <f t="shared" si="34"/>
        <v/>
      </c>
      <c r="FK739" s="1469"/>
      <c r="FL739" s="1469"/>
      <c r="FM739" s="1469"/>
      <c r="FN739" s="1470"/>
      <c r="FO739" s="1468" t="str">
        <f t="shared" si="35"/>
        <v/>
      </c>
      <c r="FP739" s="1469"/>
      <c r="FQ739" s="1469"/>
      <c r="FR739" s="1469"/>
      <c r="FS739" s="1470"/>
      <c r="FT739" s="1468" t="str">
        <f t="shared" si="36"/>
        <v/>
      </c>
      <c r="FU739" s="1469"/>
      <c r="FV739" s="1469"/>
      <c r="FW739" s="1469"/>
      <c r="FX739" s="1470"/>
      <c r="FY739" s="1468" t="str">
        <f t="shared" si="37"/>
        <v/>
      </c>
      <c r="FZ739" s="1469"/>
      <c r="GA739" s="1469"/>
      <c r="GB739" s="1469"/>
      <c r="GC739" s="1470"/>
    </row>
    <row r="740" spans="1:185" ht="12.95" customHeight="1">
      <c r="B740" s="1314"/>
      <c r="C740" s="1315"/>
      <c r="D740" s="1315"/>
      <c r="E740" s="1315"/>
      <c r="F740" s="1316"/>
      <c r="G740" s="1311"/>
      <c r="H740" s="1312"/>
      <c r="I740" s="1312"/>
      <c r="J740" s="1313"/>
      <c r="K740" s="1342"/>
      <c r="L740" s="1343"/>
      <c r="M740" s="1343"/>
      <c r="N740" s="1344"/>
      <c r="O740" s="1373"/>
      <c r="P740" s="1374"/>
      <c r="Q740" s="1374"/>
      <c r="R740" s="1374"/>
      <c r="S740" s="1375"/>
      <c r="T740" s="1373"/>
      <c r="U740" s="1374"/>
      <c r="V740" s="1374"/>
      <c r="W740" s="1375"/>
      <c r="X740" s="1370">
        <f t="shared" si="10"/>
        <v>0</v>
      </c>
      <c r="Y740" s="1371"/>
      <c r="Z740" s="1371"/>
      <c r="AA740" s="1371"/>
      <c r="AB740" s="1372"/>
      <c r="AC740" s="1550"/>
      <c r="AD740" s="1551"/>
      <c r="AE740" s="1551"/>
      <c r="AF740" s="1551"/>
      <c r="AG740" s="1552"/>
      <c r="AH740" s="1378" t="str">
        <f t="shared" si="38"/>
        <v/>
      </c>
      <c r="AI740" s="1379"/>
      <c r="AJ740" s="1380"/>
      <c r="AK740" s="1314" t="s">
        <v>590</v>
      </c>
      <c r="AL740" s="1315"/>
      <c r="AM740" s="1315"/>
      <c r="AN740" s="1315"/>
      <c r="AO740" s="1316"/>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468">
        <f t="shared" si="39"/>
        <v>0</v>
      </c>
      <c r="CH740" s="1470"/>
      <c r="CI740" s="1456">
        <f t="shared" si="40"/>
        <v>0</v>
      </c>
      <c r="CJ740" s="1458"/>
      <c r="CK740" s="1468">
        <f t="shared" si="18"/>
        <v>0</v>
      </c>
      <c r="CL740" s="1470"/>
      <c r="CM740" s="1456">
        <f t="shared" si="19"/>
        <v>0</v>
      </c>
      <c r="CN740" s="1458"/>
      <c r="CO740" s="3"/>
      <c r="CP740" s="1459">
        <f t="shared" si="20"/>
        <v>0</v>
      </c>
      <c r="CQ740" s="1460"/>
      <c r="CR740" s="1460"/>
      <c r="CS740" s="1460"/>
      <c r="CT740" s="1461"/>
      <c r="CU740" s="1462">
        <f t="shared" si="21"/>
        <v>0</v>
      </c>
      <c r="CV740" s="1462"/>
      <c r="CW740" s="1462"/>
      <c r="CX740" s="1462"/>
      <c r="CY740" s="1462"/>
      <c r="CZ740" s="1462">
        <f t="shared" si="22"/>
        <v>0</v>
      </c>
      <c r="DA740" s="1462"/>
      <c r="DB740" s="1462"/>
      <c r="DC740" s="1462"/>
      <c r="DD740" s="1462"/>
      <c r="DE740" s="1462">
        <f t="shared" si="23"/>
        <v>0</v>
      </c>
      <c r="DF740" s="1462"/>
      <c r="DG740" s="1462"/>
      <c r="DH740" s="1462"/>
      <c r="DI740" s="1462"/>
      <c r="DJ740" s="1462">
        <f t="shared" si="24"/>
        <v>0</v>
      </c>
      <c r="DK740" s="1462"/>
      <c r="DL740" s="1462"/>
      <c r="DM740" s="1462"/>
      <c r="DN740" s="1462"/>
      <c r="DO740" s="1462">
        <f t="shared" si="25"/>
        <v>0</v>
      </c>
      <c r="DP740" s="1462"/>
      <c r="DQ740" s="1462"/>
      <c r="DR740" s="1462"/>
      <c r="DS740" s="1462"/>
      <c r="DT740" s="6"/>
      <c r="DU740" s="1463">
        <f t="shared" si="26"/>
        <v>0</v>
      </c>
      <c r="DV740" s="1463"/>
      <c r="DW740" s="1463"/>
      <c r="DX740" s="1463"/>
      <c r="DY740" s="1463"/>
      <c r="DZ740" s="1463">
        <f t="shared" si="27"/>
        <v>0</v>
      </c>
      <c r="EA740" s="1463"/>
      <c r="EB740" s="1463"/>
      <c r="EC740" s="1463"/>
      <c r="ED740" s="1463"/>
      <c r="EE740" s="1463">
        <f t="shared" si="28"/>
        <v>0</v>
      </c>
      <c r="EF740" s="1463"/>
      <c r="EG740" s="1463"/>
      <c r="EH740" s="1463"/>
      <c r="EI740" s="1463"/>
      <c r="EJ740" s="1463">
        <f t="shared" si="29"/>
        <v>0</v>
      </c>
      <c r="EK740" s="1463"/>
      <c r="EL740" s="1463"/>
      <c r="EM740" s="1463"/>
      <c r="EN740" s="1463"/>
      <c r="EO740" s="1463">
        <f t="shared" si="30"/>
        <v>0</v>
      </c>
      <c r="EP740" s="1463"/>
      <c r="EQ740" s="1463"/>
      <c r="ER740" s="1463"/>
      <c r="ES740" s="1463"/>
      <c r="ET740" s="1463">
        <f t="shared" si="31"/>
        <v>0</v>
      </c>
      <c r="EU740" s="1463"/>
      <c r="EV740" s="1463"/>
      <c r="EW740" s="1463"/>
      <c r="EX740" s="1463"/>
      <c r="EZ740" s="1468" t="str">
        <f t="shared" si="32"/>
        <v/>
      </c>
      <c r="FA740" s="1469"/>
      <c r="FB740" s="1469"/>
      <c r="FC740" s="1469"/>
      <c r="FD740" s="1470"/>
      <c r="FE740" s="1468" t="str">
        <f t="shared" si="33"/>
        <v/>
      </c>
      <c r="FF740" s="1469"/>
      <c r="FG740" s="1469"/>
      <c r="FH740" s="1469"/>
      <c r="FI740" s="1470"/>
      <c r="FJ740" s="1468" t="str">
        <f t="shared" si="34"/>
        <v/>
      </c>
      <c r="FK740" s="1469"/>
      <c r="FL740" s="1469"/>
      <c r="FM740" s="1469"/>
      <c r="FN740" s="1470"/>
      <c r="FO740" s="1468" t="str">
        <f t="shared" si="35"/>
        <v/>
      </c>
      <c r="FP740" s="1469"/>
      <c r="FQ740" s="1469"/>
      <c r="FR740" s="1469"/>
      <c r="FS740" s="1470"/>
      <c r="FT740" s="1468" t="str">
        <f t="shared" si="36"/>
        <v/>
      </c>
      <c r="FU740" s="1469"/>
      <c r="FV740" s="1469"/>
      <c r="FW740" s="1469"/>
      <c r="FX740" s="1470"/>
      <c r="FY740" s="1468" t="str">
        <f t="shared" si="37"/>
        <v/>
      </c>
      <c r="FZ740" s="1469"/>
      <c r="GA740" s="1469"/>
      <c r="GB740" s="1469"/>
      <c r="GC740" s="1470"/>
    </row>
    <row r="741" spans="1:185" ht="12.95" customHeight="1">
      <c r="B741" s="1314"/>
      <c r="C741" s="1315"/>
      <c r="D741" s="1315"/>
      <c r="E741" s="1315"/>
      <c r="F741" s="1316"/>
      <c r="G741" s="1311"/>
      <c r="H741" s="1312"/>
      <c r="I741" s="1312"/>
      <c r="J741" s="1313"/>
      <c r="K741" s="1342"/>
      <c r="L741" s="1343"/>
      <c r="M741" s="1343"/>
      <c r="N741" s="1344"/>
      <c r="O741" s="1373"/>
      <c r="P741" s="1374"/>
      <c r="Q741" s="1374"/>
      <c r="R741" s="1374"/>
      <c r="S741" s="1375"/>
      <c r="T741" s="1373"/>
      <c r="U741" s="1374"/>
      <c r="V741" s="1374"/>
      <c r="W741" s="1375"/>
      <c r="X741" s="1370">
        <f t="shared" si="10"/>
        <v>0</v>
      </c>
      <c r="Y741" s="1371"/>
      <c r="Z741" s="1371"/>
      <c r="AA741" s="1371"/>
      <c r="AB741" s="1372"/>
      <c r="AC741" s="1550"/>
      <c r="AD741" s="1551"/>
      <c r="AE741" s="1551"/>
      <c r="AF741" s="1551"/>
      <c r="AG741" s="1552"/>
      <c r="AH741" s="1378" t="str">
        <f t="shared" si="38"/>
        <v/>
      </c>
      <c r="AI741" s="1379"/>
      <c r="AJ741" s="1380"/>
      <c r="AK741" s="1314" t="s">
        <v>590</v>
      </c>
      <c r="AL741" s="1315"/>
      <c r="AM741" s="1315"/>
      <c r="AN741" s="1315"/>
      <c r="AO741" s="1316"/>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468">
        <f t="shared" si="39"/>
        <v>0</v>
      </c>
      <c r="CH741" s="1470"/>
      <c r="CI741" s="1456">
        <f t="shared" si="40"/>
        <v>0</v>
      </c>
      <c r="CJ741" s="1458"/>
      <c r="CK741" s="1468">
        <f t="shared" si="18"/>
        <v>0</v>
      </c>
      <c r="CL741" s="1470"/>
      <c r="CM741" s="1456">
        <f t="shared" si="19"/>
        <v>0</v>
      </c>
      <c r="CN741" s="1458"/>
      <c r="CO741" s="3"/>
      <c r="CP741" s="1459">
        <f t="shared" si="20"/>
        <v>0</v>
      </c>
      <c r="CQ741" s="1460"/>
      <c r="CR741" s="1460"/>
      <c r="CS741" s="1460"/>
      <c r="CT741" s="1461"/>
      <c r="CU741" s="1462">
        <f t="shared" si="21"/>
        <v>0</v>
      </c>
      <c r="CV741" s="1462"/>
      <c r="CW741" s="1462"/>
      <c r="CX741" s="1462"/>
      <c r="CY741" s="1462"/>
      <c r="CZ741" s="1462">
        <f t="shared" si="22"/>
        <v>0</v>
      </c>
      <c r="DA741" s="1462"/>
      <c r="DB741" s="1462"/>
      <c r="DC741" s="1462"/>
      <c r="DD741" s="1462"/>
      <c r="DE741" s="1462">
        <f t="shared" si="23"/>
        <v>0</v>
      </c>
      <c r="DF741" s="1462"/>
      <c r="DG741" s="1462"/>
      <c r="DH741" s="1462"/>
      <c r="DI741" s="1462"/>
      <c r="DJ741" s="1462">
        <f t="shared" si="24"/>
        <v>0</v>
      </c>
      <c r="DK741" s="1462"/>
      <c r="DL741" s="1462"/>
      <c r="DM741" s="1462"/>
      <c r="DN741" s="1462"/>
      <c r="DO741" s="1462">
        <f t="shared" si="25"/>
        <v>0</v>
      </c>
      <c r="DP741" s="1462"/>
      <c r="DQ741" s="1462"/>
      <c r="DR741" s="1462"/>
      <c r="DS741" s="1462"/>
      <c r="DT741" s="6"/>
      <c r="DU741" s="1463">
        <f t="shared" si="26"/>
        <v>0</v>
      </c>
      <c r="DV741" s="1463"/>
      <c r="DW741" s="1463"/>
      <c r="DX741" s="1463"/>
      <c r="DY741" s="1463"/>
      <c r="DZ741" s="1463">
        <f t="shared" si="27"/>
        <v>0</v>
      </c>
      <c r="EA741" s="1463"/>
      <c r="EB741" s="1463"/>
      <c r="EC741" s="1463"/>
      <c r="ED741" s="1463"/>
      <c r="EE741" s="1463">
        <f t="shared" si="28"/>
        <v>0</v>
      </c>
      <c r="EF741" s="1463"/>
      <c r="EG741" s="1463"/>
      <c r="EH741" s="1463"/>
      <c r="EI741" s="1463"/>
      <c r="EJ741" s="1463">
        <f t="shared" si="29"/>
        <v>0</v>
      </c>
      <c r="EK741" s="1463"/>
      <c r="EL741" s="1463"/>
      <c r="EM741" s="1463"/>
      <c r="EN741" s="1463"/>
      <c r="EO741" s="1463">
        <f t="shared" si="30"/>
        <v>0</v>
      </c>
      <c r="EP741" s="1463"/>
      <c r="EQ741" s="1463"/>
      <c r="ER741" s="1463"/>
      <c r="ES741" s="1463"/>
      <c r="ET741" s="1463">
        <f t="shared" si="31"/>
        <v>0</v>
      </c>
      <c r="EU741" s="1463"/>
      <c r="EV741" s="1463"/>
      <c r="EW741" s="1463"/>
      <c r="EX741" s="1463"/>
      <c r="EZ741" s="1468" t="str">
        <f t="shared" si="32"/>
        <v/>
      </c>
      <c r="FA741" s="1469"/>
      <c r="FB741" s="1469"/>
      <c r="FC741" s="1469"/>
      <c r="FD741" s="1470"/>
      <c r="FE741" s="1468" t="str">
        <f t="shared" si="33"/>
        <v/>
      </c>
      <c r="FF741" s="1469"/>
      <c r="FG741" s="1469"/>
      <c r="FH741" s="1469"/>
      <c r="FI741" s="1470"/>
      <c r="FJ741" s="1468" t="str">
        <f t="shared" si="34"/>
        <v/>
      </c>
      <c r="FK741" s="1469"/>
      <c r="FL741" s="1469"/>
      <c r="FM741" s="1469"/>
      <c r="FN741" s="1470"/>
      <c r="FO741" s="1468" t="str">
        <f t="shared" si="35"/>
        <v/>
      </c>
      <c r="FP741" s="1469"/>
      <c r="FQ741" s="1469"/>
      <c r="FR741" s="1469"/>
      <c r="FS741" s="1470"/>
      <c r="FT741" s="1468" t="str">
        <f t="shared" si="36"/>
        <v/>
      </c>
      <c r="FU741" s="1469"/>
      <c r="FV741" s="1469"/>
      <c r="FW741" s="1469"/>
      <c r="FX741" s="1470"/>
      <c r="FY741" s="1468" t="str">
        <f t="shared" si="37"/>
        <v/>
      </c>
      <c r="FZ741" s="1469"/>
      <c r="GA741" s="1469"/>
      <c r="GB741" s="1469"/>
      <c r="GC741" s="1470"/>
    </row>
    <row r="742" spans="1:185" ht="12.95" customHeight="1">
      <c r="B742" s="1314"/>
      <c r="C742" s="1315"/>
      <c r="D742" s="1315"/>
      <c r="E742" s="1315"/>
      <c r="F742" s="1316"/>
      <c r="G742" s="1311"/>
      <c r="H742" s="1312"/>
      <c r="I742" s="1312"/>
      <c r="J742" s="1313"/>
      <c r="K742" s="1342"/>
      <c r="L742" s="1343"/>
      <c r="M742" s="1343"/>
      <c r="N742" s="1344"/>
      <c r="O742" s="1373"/>
      <c r="P742" s="1374"/>
      <c r="Q742" s="1374"/>
      <c r="R742" s="1374"/>
      <c r="S742" s="1375"/>
      <c r="T742" s="1373"/>
      <c r="U742" s="1374"/>
      <c r="V742" s="1374"/>
      <c r="W742" s="1375"/>
      <c r="X742" s="1370">
        <f t="shared" si="10"/>
        <v>0</v>
      </c>
      <c r="Y742" s="1371"/>
      <c r="Z742" s="1371"/>
      <c r="AA742" s="1371"/>
      <c r="AB742" s="1372"/>
      <c r="AC742" s="1550"/>
      <c r="AD742" s="1551"/>
      <c r="AE742" s="1551"/>
      <c r="AF742" s="1551"/>
      <c r="AG742" s="1552"/>
      <c r="AH742" s="1378" t="str">
        <f t="shared" si="38"/>
        <v/>
      </c>
      <c r="AI742" s="1379"/>
      <c r="AJ742" s="1380"/>
      <c r="AK742" s="1314" t="s">
        <v>590</v>
      </c>
      <c r="AL742" s="1315"/>
      <c r="AM742" s="1315"/>
      <c r="AN742" s="1315"/>
      <c r="AO742" s="1316"/>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468">
        <f t="shared" si="39"/>
        <v>0</v>
      </c>
      <c r="CH742" s="1470"/>
      <c r="CI742" s="1456">
        <f t="shared" si="40"/>
        <v>0</v>
      </c>
      <c r="CJ742" s="1458"/>
      <c r="CK742" s="1468">
        <f t="shared" si="18"/>
        <v>0</v>
      </c>
      <c r="CL742" s="1470"/>
      <c r="CM742" s="1456">
        <f t="shared" si="19"/>
        <v>0</v>
      </c>
      <c r="CN742" s="1458"/>
      <c r="CO742" s="3"/>
      <c r="CP742" s="1459">
        <f t="shared" si="20"/>
        <v>0</v>
      </c>
      <c r="CQ742" s="1460"/>
      <c r="CR742" s="1460"/>
      <c r="CS742" s="1460"/>
      <c r="CT742" s="1461"/>
      <c r="CU742" s="1462">
        <f t="shared" si="21"/>
        <v>0</v>
      </c>
      <c r="CV742" s="1462"/>
      <c r="CW742" s="1462"/>
      <c r="CX742" s="1462"/>
      <c r="CY742" s="1462"/>
      <c r="CZ742" s="1462">
        <f t="shared" si="22"/>
        <v>0</v>
      </c>
      <c r="DA742" s="1462"/>
      <c r="DB742" s="1462"/>
      <c r="DC742" s="1462"/>
      <c r="DD742" s="1462"/>
      <c r="DE742" s="1462">
        <f t="shared" si="23"/>
        <v>0</v>
      </c>
      <c r="DF742" s="1462"/>
      <c r="DG742" s="1462"/>
      <c r="DH742" s="1462"/>
      <c r="DI742" s="1462"/>
      <c r="DJ742" s="1462">
        <f t="shared" si="24"/>
        <v>0</v>
      </c>
      <c r="DK742" s="1462"/>
      <c r="DL742" s="1462"/>
      <c r="DM742" s="1462"/>
      <c r="DN742" s="1462"/>
      <c r="DO742" s="1462">
        <f t="shared" si="25"/>
        <v>0</v>
      </c>
      <c r="DP742" s="1462"/>
      <c r="DQ742" s="1462"/>
      <c r="DR742" s="1462"/>
      <c r="DS742" s="1462"/>
      <c r="DT742" s="6"/>
      <c r="DU742" s="1463">
        <f t="shared" si="26"/>
        <v>0</v>
      </c>
      <c r="DV742" s="1463"/>
      <c r="DW742" s="1463"/>
      <c r="DX742" s="1463"/>
      <c r="DY742" s="1463"/>
      <c r="DZ742" s="1463">
        <f t="shared" si="27"/>
        <v>0</v>
      </c>
      <c r="EA742" s="1463"/>
      <c r="EB742" s="1463"/>
      <c r="EC742" s="1463"/>
      <c r="ED742" s="1463"/>
      <c r="EE742" s="1463">
        <f t="shared" si="28"/>
        <v>0</v>
      </c>
      <c r="EF742" s="1463"/>
      <c r="EG742" s="1463"/>
      <c r="EH742" s="1463"/>
      <c r="EI742" s="1463"/>
      <c r="EJ742" s="1463">
        <f t="shared" si="29"/>
        <v>0</v>
      </c>
      <c r="EK742" s="1463"/>
      <c r="EL742" s="1463"/>
      <c r="EM742" s="1463"/>
      <c r="EN742" s="1463"/>
      <c r="EO742" s="1463">
        <f t="shared" si="30"/>
        <v>0</v>
      </c>
      <c r="EP742" s="1463"/>
      <c r="EQ742" s="1463"/>
      <c r="ER742" s="1463"/>
      <c r="ES742" s="1463"/>
      <c r="ET742" s="1463">
        <f t="shared" si="31"/>
        <v>0</v>
      </c>
      <c r="EU742" s="1463"/>
      <c r="EV742" s="1463"/>
      <c r="EW742" s="1463"/>
      <c r="EX742" s="1463"/>
      <c r="EZ742" s="1468" t="str">
        <f t="shared" si="32"/>
        <v/>
      </c>
      <c r="FA742" s="1469"/>
      <c r="FB742" s="1469"/>
      <c r="FC742" s="1469"/>
      <c r="FD742" s="1470"/>
      <c r="FE742" s="1468" t="str">
        <f t="shared" si="33"/>
        <v/>
      </c>
      <c r="FF742" s="1469"/>
      <c r="FG742" s="1469"/>
      <c r="FH742" s="1469"/>
      <c r="FI742" s="1470"/>
      <c r="FJ742" s="1468" t="str">
        <f t="shared" si="34"/>
        <v/>
      </c>
      <c r="FK742" s="1469"/>
      <c r="FL742" s="1469"/>
      <c r="FM742" s="1469"/>
      <c r="FN742" s="1470"/>
      <c r="FO742" s="1468" t="str">
        <f t="shared" si="35"/>
        <v/>
      </c>
      <c r="FP742" s="1469"/>
      <c r="FQ742" s="1469"/>
      <c r="FR742" s="1469"/>
      <c r="FS742" s="1470"/>
      <c r="FT742" s="1468" t="str">
        <f t="shared" si="36"/>
        <v/>
      </c>
      <c r="FU742" s="1469"/>
      <c r="FV742" s="1469"/>
      <c r="FW742" s="1469"/>
      <c r="FX742" s="1470"/>
      <c r="FY742" s="1468" t="str">
        <f t="shared" si="37"/>
        <v/>
      </c>
      <c r="FZ742" s="1469"/>
      <c r="GA742" s="1469"/>
      <c r="GB742" s="1469"/>
      <c r="GC742" s="1470"/>
    </row>
    <row r="743" spans="1:185" ht="12.95" customHeight="1">
      <c r="B743" s="1314"/>
      <c r="C743" s="1315"/>
      <c r="D743" s="1315"/>
      <c r="E743" s="1315"/>
      <c r="F743" s="1316"/>
      <c r="G743" s="1311"/>
      <c r="H743" s="1312"/>
      <c r="I743" s="1312"/>
      <c r="J743" s="1313"/>
      <c r="K743" s="1342"/>
      <c r="L743" s="1343"/>
      <c r="M743" s="1343"/>
      <c r="N743" s="1344"/>
      <c r="O743" s="1373"/>
      <c r="P743" s="1374"/>
      <c r="Q743" s="1374"/>
      <c r="R743" s="1374"/>
      <c r="S743" s="1375"/>
      <c r="T743" s="1373"/>
      <c r="U743" s="1374"/>
      <c r="V743" s="1374"/>
      <c r="W743" s="1375"/>
      <c r="X743" s="1370">
        <f t="shared" si="10"/>
        <v>0</v>
      </c>
      <c r="Y743" s="1371"/>
      <c r="Z743" s="1371"/>
      <c r="AA743" s="1371"/>
      <c r="AB743" s="1372"/>
      <c r="AC743" s="1550"/>
      <c r="AD743" s="1551"/>
      <c r="AE743" s="1551"/>
      <c r="AF743" s="1551"/>
      <c r="AG743" s="1552"/>
      <c r="AH743" s="1378" t="str">
        <f t="shared" si="38"/>
        <v/>
      </c>
      <c r="AI743" s="1379"/>
      <c r="AJ743" s="1380"/>
      <c r="AK743" s="1314" t="s">
        <v>590</v>
      </c>
      <c r="AL743" s="1315"/>
      <c r="AM743" s="1315"/>
      <c r="AN743" s="1315"/>
      <c r="AO743" s="1316"/>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468">
        <f t="shared" si="39"/>
        <v>0</v>
      </c>
      <c r="CH743" s="1470"/>
      <c r="CI743" s="1456">
        <f t="shared" si="40"/>
        <v>0</v>
      </c>
      <c r="CJ743" s="1458"/>
      <c r="CK743" s="1468">
        <f t="shared" si="18"/>
        <v>0</v>
      </c>
      <c r="CL743" s="1470"/>
      <c r="CM743" s="1456">
        <f t="shared" si="19"/>
        <v>0</v>
      </c>
      <c r="CN743" s="1458"/>
      <c r="CO743" s="3"/>
      <c r="CP743" s="1459">
        <f t="shared" si="20"/>
        <v>0</v>
      </c>
      <c r="CQ743" s="1460"/>
      <c r="CR743" s="1460"/>
      <c r="CS743" s="1460"/>
      <c r="CT743" s="1461"/>
      <c r="CU743" s="1462">
        <f t="shared" si="21"/>
        <v>0</v>
      </c>
      <c r="CV743" s="1462"/>
      <c r="CW743" s="1462"/>
      <c r="CX743" s="1462"/>
      <c r="CY743" s="1462"/>
      <c r="CZ743" s="1462">
        <f t="shared" si="22"/>
        <v>0</v>
      </c>
      <c r="DA743" s="1462"/>
      <c r="DB743" s="1462"/>
      <c r="DC743" s="1462"/>
      <c r="DD743" s="1462"/>
      <c r="DE743" s="1462">
        <f t="shared" si="23"/>
        <v>0</v>
      </c>
      <c r="DF743" s="1462"/>
      <c r="DG743" s="1462"/>
      <c r="DH743" s="1462"/>
      <c r="DI743" s="1462"/>
      <c r="DJ743" s="1462">
        <f t="shared" si="24"/>
        <v>0</v>
      </c>
      <c r="DK743" s="1462"/>
      <c r="DL743" s="1462"/>
      <c r="DM743" s="1462"/>
      <c r="DN743" s="1462"/>
      <c r="DO743" s="1462">
        <f t="shared" si="25"/>
        <v>0</v>
      </c>
      <c r="DP743" s="1462"/>
      <c r="DQ743" s="1462"/>
      <c r="DR743" s="1462"/>
      <c r="DS743" s="1462"/>
      <c r="DT743" s="6"/>
      <c r="DU743" s="1463">
        <f t="shared" si="26"/>
        <v>0</v>
      </c>
      <c r="DV743" s="1463"/>
      <c r="DW743" s="1463"/>
      <c r="DX743" s="1463"/>
      <c r="DY743" s="1463"/>
      <c r="DZ743" s="1463">
        <f t="shared" si="27"/>
        <v>0</v>
      </c>
      <c r="EA743" s="1463"/>
      <c r="EB743" s="1463"/>
      <c r="EC743" s="1463"/>
      <c r="ED743" s="1463"/>
      <c r="EE743" s="1463">
        <f t="shared" si="28"/>
        <v>0</v>
      </c>
      <c r="EF743" s="1463"/>
      <c r="EG743" s="1463"/>
      <c r="EH743" s="1463"/>
      <c r="EI743" s="1463"/>
      <c r="EJ743" s="1463">
        <f t="shared" si="29"/>
        <v>0</v>
      </c>
      <c r="EK743" s="1463"/>
      <c r="EL743" s="1463"/>
      <c r="EM743" s="1463"/>
      <c r="EN743" s="1463"/>
      <c r="EO743" s="1463">
        <f t="shared" si="30"/>
        <v>0</v>
      </c>
      <c r="EP743" s="1463"/>
      <c r="EQ743" s="1463"/>
      <c r="ER743" s="1463"/>
      <c r="ES743" s="1463"/>
      <c r="ET743" s="1463">
        <f t="shared" si="31"/>
        <v>0</v>
      </c>
      <c r="EU743" s="1463"/>
      <c r="EV743" s="1463"/>
      <c r="EW743" s="1463"/>
      <c r="EX743" s="1463"/>
      <c r="EZ743" s="1468" t="str">
        <f t="shared" si="32"/>
        <v/>
      </c>
      <c r="FA743" s="1469"/>
      <c r="FB743" s="1469"/>
      <c r="FC743" s="1469"/>
      <c r="FD743" s="1470"/>
      <c r="FE743" s="1468" t="str">
        <f t="shared" si="33"/>
        <v/>
      </c>
      <c r="FF743" s="1469"/>
      <c r="FG743" s="1469"/>
      <c r="FH743" s="1469"/>
      <c r="FI743" s="1470"/>
      <c r="FJ743" s="1468" t="str">
        <f t="shared" si="34"/>
        <v/>
      </c>
      <c r="FK743" s="1469"/>
      <c r="FL743" s="1469"/>
      <c r="FM743" s="1469"/>
      <c r="FN743" s="1470"/>
      <c r="FO743" s="1468" t="str">
        <f t="shared" si="35"/>
        <v/>
      </c>
      <c r="FP743" s="1469"/>
      <c r="FQ743" s="1469"/>
      <c r="FR743" s="1469"/>
      <c r="FS743" s="1470"/>
      <c r="FT743" s="1468" t="str">
        <f t="shared" si="36"/>
        <v/>
      </c>
      <c r="FU743" s="1469"/>
      <c r="FV743" s="1469"/>
      <c r="FW743" s="1469"/>
      <c r="FX743" s="1470"/>
      <c r="FY743" s="1468" t="str">
        <f t="shared" si="37"/>
        <v/>
      </c>
      <c r="FZ743" s="1469"/>
      <c r="GA743" s="1469"/>
      <c r="GB743" s="1469"/>
      <c r="GC743" s="1470"/>
    </row>
    <row r="744" spans="1:185" ht="12.95" customHeight="1">
      <c r="B744" s="1314"/>
      <c r="C744" s="1315"/>
      <c r="D744" s="1315"/>
      <c r="E744" s="1315"/>
      <c r="F744" s="1316"/>
      <c r="G744" s="1311"/>
      <c r="H744" s="1312"/>
      <c r="I744" s="1312"/>
      <c r="J744" s="1313"/>
      <c r="K744" s="1342"/>
      <c r="L744" s="1343"/>
      <c r="M744" s="1343"/>
      <c r="N744" s="1344"/>
      <c r="O744" s="1373"/>
      <c r="P744" s="1374"/>
      <c r="Q744" s="1374"/>
      <c r="R744" s="1374"/>
      <c r="S744" s="1375"/>
      <c r="T744" s="1373"/>
      <c r="U744" s="1374"/>
      <c r="V744" s="1374"/>
      <c r="W744" s="1375"/>
      <c r="X744" s="1370">
        <f t="shared" si="10"/>
        <v>0</v>
      </c>
      <c r="Y744" s="1371"/>
      <c r="Z744" s="1371"/>
      <c r="AA744" s="1371"/>
      <c r="AB744" s="1372"/>
      <c r="AC744" s="1550"/>
      <c r="AD744" s="1551"/>
      <c r="AE744" s="1551"/>
      <c r="AF744" s="1551"/>
      <c r="AG744" s="1552"/>
      <c r="AH744" s="1378" t="str">
        <f t="shared" si="38"/>
        <v/>
      </c>
      <c r="AI744" s="1379"/>
      <c r="AJ744" s="1380"/>
      <c r="AK744" s="1314" t="s">
        <v>590</v>
      </c>
      <c r="AL744" s="1315"/>
      <c r="AM744" s="1315"/>
      <c r="AN744" s="1315"/>
      <c r="AO744" s="1316"/>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468">
        <f t="shared" si="39"/>
        <v>0</v>
      </c>
      <c r="CH744" s="1470"/>
      <c r="CI744" s="1456">
        <f t="shared" si="40"/>
        <v>0</v>
      </c>
      <c r="CJ744" s="1458"/>
      <c r="CK744" s="1468">
        <f t="shared" si="18"/>
        <v>0</v>
      </c>
      <c r="CL744" s="1470"/>
      <c r="CM744" s="1456">
        <f t="shared" si="19"/>
        <v>0</v>
      </c>
      <c r="CN744" s="1458"/>
      <c r="CO744" s="3"/>
      <c r="CP744" s="1459">
        <f t="shared" si="20"/>
        <v>0</v>
      </c>
      <c r="CQ744" s="1460"/>
      <c r="CR744" s="1460"/>
      <c r="CS744" s="1460"/>
      <c r="CT744" s="1461"/>
      <c r="CU744" s="1462">
        <f t="shared" si="21"/>
        <v>0</v>
      </c>
      <c r="CV744" s="1462"/>
      <c r="CW744" s="1462"/>
      <c r="CX744" s="1462"/>
      <c r="CY744" s="1462"/>
      <c r="CZ744" s="1462">
        <f t="shared" si="22"/>
        <v>0</v>
      </c>
      <c r="DA744" s="1462"/>
      <c r="DB744" s="1462"/>
      <c r="DC744" s="1462"/>
      <c r="DD744" s="1462"/>
      <c r="DE744" s="1462">
        <f t="shared" si="23"/>
        <v>0</v>
      </c>
      <c r="DF744" s="1462"/>
      <c r="DG744" s="1462"/>
      <c r="DH744" s="1462"/>
      <c r="DI744" s="1462"/>
      <c r="DJ744" s="1462">
        <f t="shared" si="24"/>
        <v>0</v>
      </c>
      <c r="DK744" s="1462"/>
      <c r="DL744" s="1462"/>
      <c r="DM744" s="1462"/>
      <c r="DN744" s="1462"/>
      <c r="DO744" s="1462">
        <f t="shared" si="25"/>
        <v>0</v>
      </c>
      <c r="DP744" s="1462"/>
      <c r="DQ744" s="1462"/>
      <c r="DR744" s="1462"/>
      <c r="DS744" s="1462"/>
      <c r="DT744" s="6"/>
      <c r="DU744" s="1463">
        <f t="shared" si="26"/>
        <v>0</v>
      </c>
      <c r="DV744" s="1463"/>
      <c r="DW744" s="1463"/>
      <c r="DX744" s="1463"/>
      <c r="DY744" s="1463"/>
      <c r="DZ744" s="1463">
        <f t="shared" si="27"/>
        <v>0</v>
      </c>
      <c r="EA744" s="1463"/>
      <c r="EB744" s="1463"/>
      <c r="EC744" s="1463"/>
      <c r="ED744" s="1463"/>
      <c r="EE744" s="1463">
        <f t="shared" si="28"/>
        <v>0</v>
      </c>
      <c r="EF744" s="1463"/>
      <c r="EG744" s="1463"/>
      <c r="EH744" s="1463"/>
      <c r="EI744" s="1463"/>
      <c r="EJ744" s="1463">
        <f t="shared" si="29"/>
        <v>0</v>
      </c>
      <c r="EK744" s="1463"/>
      <c r="EL744" s="1463"/>
      <c r="EM744" s="1463"/>
      <c r="EN744" s="1463"/>
      <c r="EO744" s="1463">
        <f t="shared" si="30"/>
        <v>0</v>
      </c>
      <c r="EP744" s="1463"/>
      <c r="EQ744" s="1463"/>
      <c r="ER744" s="1463"/>
      <c r="ES744" s="1463"/>
      <c r="ET744" s="1463">
        <f t="shared" si="31"/>
        <v>0</v>
      </c>
      <c r="EU744" s="1463"/>
      <c r="EV744" s="1463"/>
      <c r="EW744" s="1463"/>
      <c r="EX744" s="1463"/>
      <c r="EZ744" s="1468" t="str">
        <f t="shared" si="32"/>
        <v/>
      </c>
      <c r="FA744" s="1469"/>
      <c r="FB744" s="1469"/>
      <c r="FC744" s="1469"/>
      <c r="FD744" s="1470"/>
      <c r="FE744" s="1468" t="str">
        <f t="shared" si="33"/>
        <v/>
      </c>
      <c r="FF744" s="1469"/>
      <c r="FG744" s="1469"/>
      <c r="FH744" s="1469"/>
      <c r="FI744" s="1470"/>
      <c r="FJ744" s="1468" t="str">
        <f t="shared" si="34"/>
        <v/>
      </c>
      <c r="FK744" s="1469"/>
      <c r="FL744" s="1469"/>
      <c r="FM744" s="1469"/>
      <c r="FN744" s="1470"/>
      <c r="FO744" s="1468" t="str">
        <f t="shared" si="35"/>
        <v/>
      </c>
      <c r="FP744" s="1469"/>
      <c r="FQ744" s="1469"/>
      <c r="FR744" s="1469"/>
      <c r="FS744" s="1470"/>
      <c r="FT744" s="1468" t="str">
        <f t="shared" si="36"/>
        <v/>
      </c>
      <c r="FU744" s="1469"/>
      <c r="FV744" s="1469"/>
      <c r="FW744" s="1469"/>
      <c r="FX744" s="1470"/>
      <c r="FY744" s="1468" t="str">
        <f t="shared" si="37"/>
        <v/>
      </c>
      <c r="FZ744" s="1469"/>
      <c r="GA744" s="1469"/>
      <c r="GB744" s="1469"/>
      <c r="GC744" s="1470"/>
    </row>
    <row r="745" spans="1:185" ht="12.95" customHeight="1">
      <c r="B745" s="1314"/>
      <c r="C745" s="1315"/>
      <c r="D745" s="1315"/>
      <c r="E745" s="1315"/>
      <c r="F745" s="1316"/>
      <c r="G745" s="1311"/>
      <c r="H745" s="1312"/>
      <c r="I745" s="1312"/>
      <c r="J745" s="1313"/>
      <c r="K745" s="1342"/>
      <c r="L745" s="1343"/>
      <c r="M745" s="1343"/>
      <c r="N745" s="1344"/>
      <c r="O745" s="1373"/>
      <c r="P745" s="1374"/>
      <c r="Q745" s="1374"/>
      <c r="R745" s="1374"/>
      <c r="S745" s="1375"/>
      <c r="T745" s="1373"/>
      <c r="U745" s="1374"/>
      <c r="V745" s="1374"/>
      <c r="W745" s="1375"/>
      <c r="X745" s="1370">
        <f t="shared" si="10"/>
        <v>0</v>
      </c>
      <c r="Y745" s="1371"/>
      <c r="Z745" s="1371"/>
      <c r="AA745" s="1371"/>
      <c r="AB745" s="1372"/>
      <c r="AC745" s="1550"/>
      <c r="AD745" s="1551"/>
      <c r="AE745" s="1551"/>
      <c r="AF745" s="1551"/>
      <c r="AG745" s="1552"/>
      <c r="AH745" s="1378" t="str">
        <f t="shared" si="38"/>
        <v/>
      </c>
      <c r="AI745" s="1379"/>
      <c r="AJ745" s="1380"/>
      <c r="AK745" s="1314" t="s">
        <v>590</v>
      </c>
      <c r="AL745" s="1315"/>
      <c r="AM745" s="1315"/>
      <c r="AN745" s="1315"/>
      <c r="AO745" s="1316"/>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468">
        <f t="shared" si="39"/>
        <v>0</v>
      </c>
      <c r="CH745" s="1470"/>
      <c r="CI745" s="1456">
        <f t="shared" si="40"/>
        <v>0</v>
      </c>
      <c r="CJ745" s="1458"/>
      <c r="CK745" s="1468">
        <f t="shared" si="18"/>
        <v>0</v>
      </c>
      <c r="CL745" s="1470"/>
      <c r="CM745" s="1456">
        <f t="shared" si="19"/>
        <v>0</v>
      </c>
      <c r="CN745" s="1458"/>
      <c r="CO745" s="3"/>
      <c r="CP745" s="1459">
        <f t="shared" si="20"/>
        <v>0</v>
      </c>
      <c r="CQ745" s="1460"/>
      <c r="CR745" s="1460"/>
      <c r="CS745" s="1460"/>
      <c r="CT745" s="1461"/>
      <c r="CU745" s="1462">
        <f t="shared" si="21"/>
        <v>0</v>
      </c>
      <c r="CV745" s="1462"/>
      <c r="CW745" s="1462"/>
      <c r="CX745" s="1462"/>
      <c r="CY745" s="1462"/>
      <c r="CZ745" s="1462">
        <f t="shared" si="22"/>
        <v>0</v>
      </c>
      <c r="DA745" s="1462"/>
      <c r="DB745" s="1462"/>
      <c r="DC745" s="1462"/>
      <c r="DD745" s="1462"/>
      <c r="DE745" s="1462">
        <f t="shared" si="23"/>
        <v>0</v>
      </c>
      <c r="DF745" s="1462"/>
      <c r="DG745" s="1462"/>
      <c r="DH745" s="1462"/>
      <c r="DI745" s="1462"/>
      <c r="DJ745" s="1462">
        <f t="shared" si="24"/>
        <v>0</v>
      </c>
      <c r="DK745" s="1462"/>
      <c r="DL745" s="1462"/>
      <c r="DM745" s="1462"/>
      <c r="DN745" s="1462"/>
      <c r="DO745" s="1462">
        <f t="shared" si="25"/>
        <v>0</v>
      </c>
      <c r="DP745" s="1462"/>
      <c r="DQ745" s="1462"/>
      <c r="DR745" s="1462"/>
      <c r="DS745" s="1462"/>
      <c r="DT745" s="6"/>
      <c r="DU745" s="1463">
        <f t="shared" si="26"/>
        <v>0</v>
      </c>
      <c r="DV745" s="1463"/>
      <c r="DW745" s="1463"/>
      <c r="DX745" s="1463"/>
      <c r="DY745" s="1463"/>
      <c r="DZ745" s="1463">
        <f t="shared" si="27"/>
        <v>0</v>
      </c>
      <c r="EA745" s="1463"/>
      <c r="EB745" s="1463"/>
      <c r="EC745" s="1463"/>
      <c r="ED745" s="1463"/>
      <c r="EE745" s="1463">
        <f t="shared" si="28"/>
        <v>0</v>
      </c>
      <c r="EF745" s="1463"/>
      <c r="EG745" s="1463"/>
      <c r="EH745" s="1463"/>
      <c r="EI745" s="1463"/>
      <c r="EJ745" s="1463">
        <f t="shared" si="29"/>
        <v>0</v>
      </c>
      <c r="EK745" s="1463"/>
      <c r="EL745" s="1463"/>
      <c r="EM745" s="1463"/>
      <c r="EN745" s="1463"/>
      <c r="EO745" s="1463">
        <f t="shared" si="30"/>
        <v>0</v>
      </c>
      <c r="EP745" s="1463"/>
      <c r="EQ745" s="1463"/>
      <c r="ER745" s="1463"/>
      <c r="ES745" s="1463"/>
      <c r="ET745" s="1463">
        <f t="shared" si="31"/>
        <v>0</v>
      </c>
      <c r="EU745" s="1463"/>
      <c r="EV745" s="1463"/>
      <c r="EW745" s="1463"/>
      <c r="EX745" s="1463"/>
      <c r="EZ745" s="1468" t="str">
        <f t="shared" si="32"/>
        <v/>
      </c>
      <c r="FA745" s="1469"/>
      <c r="FB745" s="1469"/>
      <c r="FC745" s="1469"/>
      <c r="FD745" s="1470"/>
      <c r="FE745" s="1468" t="str">
        <f t="shared" si="33"/>
        <v/>
      </c>
      <c r="FF745" s="1469"/>
      <c r="FG745" s="1469"/>
      <c r="FH745" s="1469"/>
      <c r="FI745" s="1470"/>
      <c r="FJ745" s="1468" t="str">
        <f t="shared" si="34"/>
        <v/>
      </c>
      <c r="FK745" s="1469"/>
      <c r="FL745" s="1469"/>
      <c r="FM745" s="1469"/>
      <c r="FN745" s="1470"/>
      <c r="FO745" s="1468" t="str">
        <f t="shared" si="35"/>
        <v/>
      </c>
      <c r="FP745" s="1469"/>
      <c r="FQ745" s="1469"/>
      <c r="FR745" s="1469"/>
      <c r="FS745" s="1470"/>
      <c r="FT745" s="1468" t="str">
        <f t="shared" si="36"/>
        <v/>
      </c>
      <c r="FU745" s="1469"/>
      <c r="FV745" s="1469"/>
      <c r="FW745" s="1469"/>
      <c r="FX745" s="1470"/>
      <c r="FY745" s="1468" t="str">
        <f t="shared" si="37"/>
        <v/>
      </c>
      <c r="FZ745" s="1469"/>
      <c r="GA745" s="1469"/>
      <c r="GB745" s="1469"/>
      <c r="GC745" s="1470"/>
    </row>
    <row r="746" spans="1:185" ht="12.95" customHeight="1">
      <c r="B746" s="1314"/>
      <c r="C746" s="1315"/>
      <c r="D746" s="1315"/>
      <c r="E746" s="1315"/>
      <c r="F746" s="1316"/>
      <c r="G746" s="1311"/>
      <c r="H746" s="1312"/>
      <c r="I746" s="1312"/>
      <c r="J746" s="1313"/>
      <c r="K746" s="1342"/>
      <c r="L746" s="1343"/>
      <c r="M746" s="1343"/>
      <c r="N746" s="1344"/>
      <c r="O746" s="1373"/>
      <c r="P746" s="1374"/>
      <c r="Q746" s="1374"/>
      <c r="R746" s="1374"/>
      <c r="S746" s="1375"/>
      <c r="T746" s="1373"/>
      <c r="U746" s="1374"/>
      <c r="V746" s="1374"/>
      <c r="W746" s="1375"/>
      <c r="X746" s="1370">
        <f t="shared" si="10"/>
        <v>0</v>
      </c>
      <c r="Y746" s="1371"/>
      <c r="Z746" s="1371"/>
      <c r="AA746" s="1371"/>
      <c r="AB746" s="1372"/>
      <c r="AC746" s="1550"/>
      <c r="AD746" s="1551"/>
      <c r="AE746" s="1551"/>
      <c r="AF746" s="1551"/>
      <c r="AG746" s="1552"/>
      <c r="AH746" s="1378" t="str">
        <f t="shared" si="38"/>
        <v/>
      </c>
      <c r="AI746" s="1379"/>
      <c r="AJ746" s="1380"/>
      <c r="AK746" s="1314" t="s">
        <v>590</v>
      </c>
      <c r="AL746" s="1315"/>
      <c r="AM746" s="1315"/>
      <c r="AN746" s="1315"/>
      <c r="AO746" s="1316"/>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468">
        <f t="shared" si="39"/>
        <v>0</v>
      </c>
      <c r="CH746" s="1470"/>
      <c r="CI746" s="1456">
        <f t="shared" si="40"/>
        <v>0</v>
      </c>
      <c r="CJ746" s="1458"/>
      <c r="CK746" s="1468">
        <f t="shared" si="18"/>
        <v>0</v>
      </c>
      <c r="CL746" s="1470"/>
      <c r="CM746" s="1456">
        <f t="shared" si="19"/>
        <v>0</v>
      </c>
      <c r="CN746" s="1458"/>
      <c r="CO746" s="3"/>
      <c r="CP746" s="1459">
        <f t="shared" si="20"/>
        <v>0</v>
      </c>
      <c r="CQ746" s="1460"/>
      <c r="CR746" s="1460"/>
      <c r="CS746" s="1460"/>
      <c r="CT746" s="1461"/>
      <c r="CU746" s="1462">
        <f t="shared" si="21"/>
        <v>0</v>
      </c>
      <c r="CV746" s="1462"/>
      <c r="CW746" s="1462"/>
      <c r="CX746" s="1462"/>
      <c r="CY746" s="1462"/>
      <c r="CZ746" s="1462">
        <f t="shared" si="22"/>
        <v>0</v>
      </c>
      <c r="DA746" s="1462"/>
      <c r="DB746" s="1462"/>
      <c r="DC746" s="1462"/>
      <c r="DD746" s="1462"/>
      <c r="DE746" s="1462">
        <f t="shared" si="23"/>
        <v>0</v>
      </c>
      <c r="DF746" s="1462"/>
      <c r="DG746" s="1462"/>
      <c r="DH746" s="1462"/>
      <c r="DI746" s="1462"/>
      <c r="DJ746" s="1462">
        <f t="shared" si="24"/>
        <v>0</v>
      </c>
      <c r="DK746" s="1462"/>
      <c r="DL746" s="1462"/>
      <c r="DM746" s="1462"/>
      <c r="DN746" s="1462"/>
      <c r="DO746" s="1462">
        <f t="shared" si="25"/>
        <v>0</v>
      </c>
      <c r="DP746" s="1462"/>
      <c r="DQ746" s="1462"/>
      <c r="DR746" s="1462"/>
      <c r="DS746" s="1462"/>
      <c r="DT746" s="6"/>
      <c r="DU746" s="1463">
        <f t="shared" si="26"/>
        <v>0</v>
      </c>
      <c r="DV746" s="1463"/>
      <c r="DW746" s="1463"/>
      <c r="DX746" s="1463"/>
      <c r="DY746" s="1463"/>
      <c r="DZ746" s="1463">
        <f t="shared" si="27"/>
        <v>0</v>
      </c>
      <c r="EA746" s="1463"/>
      <c r="EB746" s="1463"/>
      <c r="EC746" s="1463"/>
      <c r="ED746" s="1463"/>
      <c r="EE746" s="1463">
        <f t="shared" si="28"/>
        <v>0</v>
      </c>
      <c r="EF746" s="1463"/>
      <c r="EG746" s="1463"/>
      <c r="EH746" s="1463"/>
      <c r="EI746" s="1463"/>
      <c r="EJ746" s="1463">
        <f t="shared" si="29"/>
        <v>0</v>
      </c>
      <c r="EK746" s="1463"/>
      <c r="EL746" s="1463"/>
      <c r="EM746" s="1463"/>
      <c r="EN746" s="1463"/>
      <c r="EO746" s="1463">
        <f t="shared" si="30"/>
        <v>0</v>
      </c>
      <c r="EP746" s="1463"/>
      <c r="EQ746" s="1463"/>
      <c r="ER746" s="1463"/>
      <c r="ES746" s="1463"/>
      <c r="ET746" s="1463">
        <f t="shared" si="31"/>
        <v>0</v>
      </c>
      <c r="EU746" s="1463"/>
      <c r="EV746" s="1463"/>
      <c r="EW746" s="1463"/>
      <c r="EX746" s="1463"/>
      <c r="EZ746" s="1468" t="str">
        <f t="shared" si="32"/>
        <v/>
      </c>
      <c r="FA746" s="1469"/>
      <c r="FB746" s="1469"/>
      <c r="FC746" s="1469"/>
      <c r="FD746" s="1470"/>
      <c r="FE746" s="1468" t="str">
        <f t="shared" si="33"/>
        <v/>
      </c>
      <c r="FF746" s="1469"/>
      <c r="FG746" s="1469"/>
      <c r="FH746" s="1469"/>
      <c r="FI746" s="1470"/>
      <c r="FJ746" s="1468" t="str">
        <f t="shared" si="34"/>
        <v/>
      </c>
      <c r="FK746" s="1469"/>
      <c r="FL746" s="1469"/>
      <c r="FM746" s="1469"/>
      <c r="FN746" s="1470"/>
      <c r="FO746" s="1468" t="str">
        <f t="shared" si="35"/>
        <v/>
      </c>
      <c r="FP746" s="1469"/>
      <c r="FQ746" s="1469"/>
      <c r="FR746" s="1469"/>
      <c r="FS746" s="1470"/>
      <c r="FT746" s="1468" t="str">
        <f t="shared" si="36"/>
        <v/>
      </c>
      <c r="FU746" s="1469"/>
      <c r="FV746" s="1469"/>
      <c r="FW746" s="1469"/>
      <c r="FX746" s="1470"/>
      <c r="FY746" s="1468" t="str">
        <f t="shared" si="37"/>
        <v/>
      </c>
      <c r="FZ746" s="1469"/>
      <c r="GA746" s="1469"/>
      <c r="GB746" s="1469"/>
      <c r="GC746" s="1470"/>
    </row>
    <row r="747" spans="1:185" ht="12.95" customHeight="1">
      <c r="B747" s="1314"/>
      <c r="C747" s="1315"/>
      <c r="D747" s="1315"/>
      <c r="E747" s="1315"/>
      <c r="F747" s="1316"/>
      <c r="G747" s="1311"/>
      <c r="H747" s="1312"/>
      <c r="I747" s="1312"/>
      <c r="J747" s="1313"/>
      <c r="K747" s="1342"/>
      <c r="L747" s="1343"/>
      <c r="M747" s="1343"/>
      <c r="N747" s="1344"/>
      <c r="O747" s="1373"/>
      <c r="P747" s="1374"/>
      <c r="Q747" s="1374"/>
      <c r="R747" s="1374"/>
      <c r="S747" s="1375"/>
      <c r="T747" s="1373"/>
      <c r="U747" s="1374"/>
      <c r="V747" s="1374"/>
      <c r="W747" s="1375"/>
      <c r="X747" s="1370">
        <f t="shared" si="10"/>
        <v>0</v>
      </c>
      <c r="Y747" s="1371"/>
      <c r="Z747" s="1371"/>
      <c r="AA747" s="1371"/>
      <c r="AB747" s="1372"/>
      <c r="AC747" s="1550"/>
      <c r="AD747" s="1551"/>
      <c r="AE747" s="1551"/>
      <c r="AF747" s="1551"/>
      <c r="AG747" s="1552"/>
      <c r="AH747" s="1378" t="str">
        <f t="shared" si="38"/>
        <v/>
      </c>
      <c r="AI747" s="1379"/>
      <c r="AJ747" s="1380"/>
      <c r="AK747" s="1314" t="s">
        <v>590</v>
      </c>
      <c r="AL747" s="1315"/>
      <c r="AM747" s="1315"/>
      <c r="AN747" s="1315"/>
      <c r="AO747" s="1316"/>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468">
        <f t="shared" si="39"/>
        <v>0</v>
      </c>
      <c r="CH747" s="1470"/>
      <c r="CI747" s="1456">
        <f t="shared" si="40"/>
        <v>0</v>
      </c>
      <c r="CJ747" s="1458"/>
      <c r="CK747" s="1468">
        <f t="shared" si="18"/>
        <v>0</v>
      </c>
      <c r="CL747" s="1470"/>
      <c r="CM747" s="1456">
        <f t="shared" si="19"/>
        <v>0</v>
      </c>
      <c r="CN747" s="1458"/>
      <c r="CO747" s="3"/>
      <c r="CP747" s="1459">
        <f t="shared" si="20"/>
        <v>0</v>
      </c>
      <c r="CQ747" s="1460"/>
      <c r="CR747" s="1460"/>
      <c r="CS747" s="1460"/>
      <c r="CT747" s="1461"/>
      <c r="CU747" s="1462">
        <f t="shared" si="21"/>
        <v>0</v>
      </c>
      <c r="CV747" s="1462"/>
      <c r="CW747" s="1462"/>
      <c r="CX747" s="1462"/>
      <c r="CY747" s="1462"/>
      <c r="CZ747" s="1462">
        <f t="shared" si="22"/>
        <v>0</v>
      </c>
      <c r="DA747" s="1462"/>
      <c r="DB747" s="1462"/>
      <c r="DC747" s="1462"/>
      <c r="DD747" s="1462"/>
      <c r="DE747" s="1462">
        <f t="shared" si="23"/>
        <v>0</v>
      </c>
      <c r="DF747" s="1462"/>
      <c r="DG747" s="1462"/>
      <c r="DH747" s="1462"/>
      <c r="DI747" s="1462"/>
      <c r="DJ747" s="1462">
        <f t="shared" si="24"/>
        <v>0</v>
      </c>
      <c r="DK747" s="1462"/>
      <c r="DL747" s="1462"/>
      <c r="DM747" s="1462"/>
      <c r="DN747" s="1462"/>
      <c r="DO747" s="1462">
        <f t="shared" si="25"/>
        <v>0</v>
      </c>
      <c r="DP747" s="1462"/>
      <c r="DQ747" s="1462"/>
      <c r="DR747" s="1462"/>
      <c r="DS747" s="1462"/>
      <c r="DT747" s="6"/>
      <c r="DU747" s="1463">
        <f t="shared" si="26"/>
        <v>0</v>
      </c>
      <c r="DV747" s="1463"/>
      <c r="DW747" s="1463"/>
      <c r="DX747" s="1463"/>
      <c r="DY747" s="1463"/>
      <c r="DZ747" s="1463">
        <f t="shared" si="27"/>
        <v>0</v>
      </c>
      <c r="EA747" s="1463"/>
      <c r="EB747" s="1463"/>
      <c r="EC747" s="1463"/>
      <c r="ED747" s="1463"/>
      <c r="EE747" s="1463">
        <f t="shared" si="28"/>
        <v>0</v>
      </c>
      <c r="EF747" s="1463"/>
      <c r="EG747" s="1463"/>
      <c r="EH747" s="1463"/>
      <c r="EI747" s="1463"/>
      <c r="EJ747" s="1463">
        <f t="shared" si="29"/>
        <v>0</v>
      </c>
      <c r="EK747" s="1463"/>
      <c r="EL747" s="1463"/>
      <c r="EM747" s="1463"/>
      <c r="EN747" s="1463"/>
      <c r="EO747" s="1463">
        <f t="shared" si="30"/>
        <v>0</v>
      </c>
      <c r="EP747" s="1463"/>
      <c r="EQ747" s="1463"/>
      <c r="ER747" s="1463"/>
      <c r="ES747" s="1463"/>
      <c r="ET747" s="1463">
        <f t="shared" si="31"/>
        <v>0</v>
      </c>
      <c r="EU747" s="1463"/>
      <c r="EV747" s="1463"/>
      <c r="EW747" s="1463"/>
      <c r="EX747" s="1463"/>
      <c r="EZ747" s="1468" t="str">
        <f t="shared" si="32"/>
        <v/>
      </c>
      <c r="FA747" s="1469"/>
      <c r="FB747" s="1469"/>
      <c r="FC747" s="1469"/>
      <c r="FD747" s="1470"/>
      <c r="FE747" s="1468" t="str">
        <f t="shared" si="33"/>
        <v/>
      </c>
      <c r="FF747" s="1469"/>
      <c r="FG747" s="1469"/>
      <c r="FH747" s="1469"/>
      <c r="FI747" s="1470"/>
      <c r="FJ747" s="1468" t="str">
        <f t="shared" si="34"/>
        <v/>
      </c>
      <c r="FK747" s="1469"/>
      <c r="FL747" s="1469"/>
      <c r="FM747" s="1469"/>
      <c r="FN747" s="1470"/>
      <c r="FO747" s="1468" t="str">
        <f t="shared" si="35"/>
        <v/>
      </c>
      <c r="FP747" s="1469"/>
      <c r="FQ747" s="1469"/>
      <c r="FR747" s="1469"/>
      <c r="FS747" s="1470"/>
      <c r="FT747" s="1468" t="str">
        <f t="shared" si="36"/>
        <v/>
      </c>
      <c r="FU747" s="1469"/>
      <c r="FV747" s="1469"/>
      <c r="FW747" s="1469"/>
      <c r="FX747" s="1470"/>
      <c r="FY747" s="1468" t="str">
        <f t="shared" si="37"/>
        <v/>
      </c>
      <c r="FZ747" s="1469"/>
      <c r="GA747" s="1469"/>
      <c r="GB747" s="1469"/>
      <c r="GC747" s="1470"/>
    </row>
    <row r="748" spans="1:185" ht="12.95" customHeight="1">
      <c r="B748" s="1314"/>
      <c r="C748" s="1315"/>
      <c r="D748" s="1315"/>
      <c r="E748" s="1315"/>
      <c r="F748" s="1316"/>
      <c r="G748" s="1311"/>
      <c r="H748" s="1312"/>
      <c r="I748" s="1312"/>
      <c r="J748" s="1313"/>
      <c r="K748" s="1342"/>
      <c r="L748" s="1343"/>
      <c r="M748" s="1343"/>
      <c r="N748" s="1344"/>
      <c r="O748" s="1373"/>
      <c r="P748" s="1374"/>
      <c r="Q748" s="1374"/>
      <c r="R748" s="1374"/>
      <c r="S748" s="1375"/>
      <c r="T748" s="1373"/>
      <c r="U748" s="1374"/>
      <c r="V748" s="1374"/>
      <c r="W748" s="1375"/>
      <c r="X748" s="1370">
        <f t="shared" si="10"/>
        <v>0</v>
      </c>
      <c r="Y748" s="1371"/>
      <c r="Z748" s="1371"/>
      <c r="AA748" s="1371"/>
      <c r="AB748" s="1372"/>
      <c r="AC748" s="1550"/>
      <c r="AD748" s="1551"/>
      <c r="AE748" s="1551"/>
      <c r="AF748" s="1551"/>
      <c r="AG748" s="1552"/>
      <c r="AH748" s="1378" t="str">
        <f t="shared" si="38"/>
        <v/>
      </c>
      <c r="AI748" s="1379"/>
      <c r="AJ748" s="1380"/>
      <c r="AK748" s="1314" t="s">
        <v>590</v>
      </c>
      <c r="AL748" s="1315"/>
      <c r="AM748" s="1315"/>
      <c r="AN748" s="1315"/>
      <c r="AO748" s="1316"/>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468">
        <f t="shared" si="39"/>
        <v>0</v>
      </c>
      <c r="CH748" s="1470"/>
      <c r="CI748" s="1456">
        <f t="shared" si="40"/>
        <v>0</v>
      </c>
      <c r="CJ748" s="1458"/>
      <c r="CK748" s="1468">
        <f t="shared" si="18"/>
        <v>0</v>
      </c>
      <c r="CL748" s="1470"/>
      <c r="CM748" s="1456">
        <f t="shared" si="19"/>
        <v>0</v>
      </c>
      <c r="CN748" s="1458"/>
      <c r="CO748" s="3"/>
      <c r="CP748" s="1459">
        <f t="shared" si="20"/>
        <v>0</v>
      </c>
      <c r="CQ748" s="1460"/>
      <c r="CR748" s="1460"/>
      <c r="CS748" s="1460"/>
      <c r="CT748" s="1461"/>
      <c r="CU748" s="1462">
        <f t="shared" si="21"/>
        <v>0</v>
      </c>
      <c r="CV748" s="1462"/>
      <c r="CW748" s="1462"/>
      <c r="CX748" s="1462"/>
      <c r="CY748" s="1462"/>
      <c r="CZ748" s="1462">
        <f t="shared" si="22"/>
        <v>0</v>
      </c>
      <c r="DA748" s="1462"/>
      <c r="DB748" s="1462"/>
      <c r="DC748" s="1462"/>
      <c r="DD748" s="1462"/>
      <c r="DE748" s="1462">
        <f t="shared" si="23"/>
        <v>0</v>
      </c>
      <c r="DF748" s="1462"/>
      <c r="DG748" s="1462"/>
      <c r="DH748" s="1462"/>
      <c r="DI748" s="1462"/>
      <c r="DJ748" s="1462">
        <f t="shared" si="24"/>
        <v>0</v>
      </c>
      <c r="DK748" s="1462"/>
      <c r="DL748" s="1462"/>
      <c r="DM748" s="1462"/>
      <c r="DN748" s="1462"/>
      <c r="DO748" s="1462">
        <f t="shared" si="25"/>
        <v>0</v>
      </c>
      <c r="DP748" s="1462"/>
      <c r="DQ748" s="1462"/>
      <c r="DR748" s="1462"/>
      <c r="DS748" s="1462"/>
      <c r="DT748" s="6"/>
      <c r="DU748" s="1463">
        <f t="shared" si="26"/>
        <v>0</v>
      </c>
      <c r="DV748" s="1463"/>
      <c r="DW748" s="1463"/>
      <c r="DX748" s="1463"/>
      <c r="DY748" s="1463"/>
      <c r="DZ748" s="1463">
        <f t="shared" si="27"/>
        <v>0</v>
      </c>
      <c r="EA748" s="1463"/>
      <c r="EB748" s="1463"/>
      <c r="EC748" s="1463"/>
      <c r="ED748" s="1463"/>
      <c r="EE748" s="1463">
        <f t="shared" si="28"/>
        <v>0</v>
      </c>
      <c r="EF748" s="1463"/>
      <c r="EG748" s="1463"/>
      <c r="EH748" s="1463"/>
      <c r="EI748" s="1463"/>
      <c r="EJ748" s="1463">
        <f t="shared" si="29"/>
        <v>0</v>
      </c>
      <c r="EK748" s="1463"/>
      <c r="EL748" s="1463"/>
      <c r="EM748" s="1463"/>
      <c r="EN748" s="1463"/>
      <c r="EO748" s="1463">
        <f t="shared" si="30"/>
        <v>0</v>
      </c>
      <c r="EP748" s="1463"/>
      <c r="EQ748" s="1463"/>
      <c r="ER748" s="1463"/>
      <c r="ES748" s="1463"/>
      <c r="ET748" s="1463">
        <f t="shared" si="31"/>
        <v>0</v>
      </c>
      <c r="EU748" s="1463"/>
      <c r="EV748" s="1463"/>
      <c r="EW748" s="1463"/>
      <c r="EX748" s="1463"/>
      <c r="EZ748" s="1468" t="str">
        <f t="shared" si="32"/>
        <v/>
      </c>
      <c r="FA748" s="1469"/>
      <c r="FB748" s="1469"/>
      <c r="FC748" s="1469"/>
      <c r="FD748" s="1470"/>
      <c r="FE748" s="1468" t="str">
        <f t="shared" si="33"/>
        <v/>
      </c>
      <c r="FF748" s="1469"/>
      <c r="FG748" s="1469"/>
      <c r="FH748" s="1469"/>
      <c r="FI748" s="1470"/>
      <c r="FJ748" s="1468" t="str">
        <f t="shared" si="34"/>
        <v/>
      </c>
      <c r="FK748" s="1469"/>
      <c r="FL748" s="1469"/>
      <c r="FM748" s="1469"/>
      <c r="FN748" s="1470"/>
      <c r="FO748" s="1468" t="str">
        <f t="shared" si="35"/>
        <v/>
      </c>
      <c r="FP748" s="1469"/>
      <c r="FQ748" s="1469"/>
      <c r="FR748" s="1469"/>
      <c r="FS748" s="1470"/>
      <c r="FT748" s="1468" t="str">
        <f t="shared" si="36"/>
        <v/>
      </c>
      <c r="FU748" s="1469"/>
      <c r="FV748" s="1469"/>
      <c r="FW748" s="1469"/>
      <c r="FX748" s="1470"/>
      <c r="FY748" s="1468" t="str">
        <f t="shared" si="37"/>
        <v/>
      </c>
      <c r="FZ748" s="1469"/>
      <c r="GA748" s="1469"/>
      <c r="GB748" s="1469"/>
      <c r="GC748" s="1470"/>
    </row>
    <row r="749" spans="1:185" ht="12.95" customHeight="1">
      <c r="B749" s="1314"/>
      <c r="C749" s="1315"/>
      <c r="D749" s="1315"/>
      <c r="E749" s="1315"/>
      <c r="F749" s="1316"/>
      <c r="G749" s="1311"/>
      <c r="H749" s="1312"/>
      <c r="I749" s="1312"/>
      <c r="J749" s="1313"/>
      <c r="K749" s="1342"/>
      <c r="L749" s="1343"/>
      <c r="M749" s="1343"/>
      <c r="N749" s="1344"/>
      <c r="O749" s="1373"/>
      <c r="P749" s="1374"/>
      <c r="Q749" s="1374"/>
      <c r="R749" s="1374"/>
      <c r="S749" s="1375"/>
      <c r="T749" s="1373"/>
      <c r="U749" s="1374"/>
      <c r="V749" s="1374"/>
      <c r="W749" s="1375"/>
      <c r="X749" s="1370">
        <f t="shared" si="10"/>
        <v>0</v>
      </c>
      <c r="Y749" s="1371"/>
      <c r="Z749" s="1371"/>
      <c r="AA749" s="1371"/>
      <c r="AB749" s="1372"/>
      <c r="AC749" s="1550"/>
      <c r="AD749" s="1551"/>
      <c r="AE749" s="1551"/>
      <c r="AF749" s="1551"/>
      <c r="AG749" s="1552"/>
      <c r="AH749" s="1378" t="str">
        <f t="shared" si="38"/>
        <v/>
      </c>
      <c r="AI749" s="1379"/>
      <c r="AJ749" s="1380"/>
      <c r="AK749" s="1314" t="s">
        <v>590</v>
      </c>
      <c r="AL749" s="1315"/>
      <c r="AM749" s="1315"/>
      <c r="AN749" s="1315"/>
      <c r="AO749" s="1316"/>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468">
        <f t="shared" si="39"/>
        <v>0</v>
      </c>
      <c r="CH749" s="1470"/>
      <c r="CI749" s="1456">
        <f t="shared" si="40"/>
        <v>0</v>
      </c>
      <c r="CJ749" s="1458"/>
      <c r="CK749" s="1468">
        <f t="shared" si="18"/>
        <v>0</v>
      </c>
      <c r="CL749" s="1470"/>
      <c r="CM749" s="1456">
        <f t="shared" si="19"/>
        <v>0</v>
      </c>
      <c r="CN749" s="1458"/>
      <c r="CO749" s="3"/>
      <c r="CP749" s="1459">
        <f t="shared" si="20"/>
        <v>0</v>
      </c>
      <c r="CQ749" s="1460"/>
      <c r="CR749" s="1460"/>
      <c r="CS749" s="1460"/>
      <c r="CT749" s="1461"/>
      <c r="CU749" s="1462">
        <f t="shared" si="21"/>
        <v>0</v>
      </c>
      <c r="CV749" s="1462"/>
      <c r="CW749" s="1462"/>
      <c r="CX749" s="1462"/>
      <c r="CY749" s="1462"/>
      <c r="CZ749" s="1462">
        <f t="shared" si="22"/>
        <v>0</v>
      </c>
      <c r="DA749" s="1462"/>
      <c r="DB749" s="1462"/>
      <c r="DC749" s="1462"/>
      <c r="DD749" s="1462"/>
      <c r="DE749" s="1462">
        <f t="shared" si="23"/>
        <v>0</v>
      </c>
      <c r="DF749" s="1462"/>
      <c r="DG749" s="1462"/>
      <c r="DH749" s="1462"/>
      <c r="DI749" s="1462"/>
      <c r="DJ749" s="1462">
        <f t="shared" si="24"/>
        <v>0</v>
      </c>
      <c r="DK749" s="1462"/>
      <c r="DL749" s="1462"/>
      <c r="DM749" s="1462"/>
      <c r="DN749" s="1462"/>
      <c r="DO749" s="1462">
        <f t="shared" si="25"/>
        <v>0</v>
      </c>
      <c r="DP749" s="1462"/>
      <c r="DQ749" s="1462"/>
      <c r="DR749" s="1462"/>
      <c r="DS749" s="1462"/>
      <c r="DT749" s="6"/>
      <c r="DU749" s="1463">
        <f t="shared" si="26"/>
        <v>0</v>
      </c>
      <c r="DV749" s="1463"/>
      <c r="DW749" s="1463"/>
      <c r="DX749" s="1463"/>
      <c r="DY749" s="1463"/>
      <c r="DZ749" s="1463">
        <f t="shared" si="27"/>
        <v>0</v>
      </c>
      <c r="EA749" s="1463"/>
      <c r="EB749" s="1463"/>
      <c r="EC749" s="1463"/>
      <c r="ED749" s="1463"/>
      <c r="EE749" s="1463">
        <f t="shared" si="28"/>
        <v>0</v>
      </c>
      <c r="EF749" s="1463"/>
      <c r="EG749" s="1463"/>
      <c r="EH749" s="1463"/>
      <c r="EI749" s="1463"/>
      <c r="EJ749" s="1463">
        <f t="shared" si="29"/>
        <v>0</v>
      </c>
      <c r="EK749" s="1463"/>
      <c r="EL749" s="1463"/>
      <c r="EM749" s="1463"/>
      <c r="EN749" s="1463"/>
      <c r="EO749" s="1463">
        <f t="shared" si="30"/>
        <v>0</v>
      </c>
      <c r="EP749" s="1463"/>
      <c r="EQ749" s="1463"/>
      <c r="ER749" s="1463"/>
      <c r="ES749" s="1463"/>
      <c r="ET749" s="1463">
        <f t="shared" si="31"/>
        <v>0</v>
      </c>
      <c r="EU749" s="1463"/>
      <c r="EV749" s="1463"/>
      <c r="EW749" s="1463"/>
      <c r="EX749" s="1463"/>
      <c r="EZ749" s="1468" t="str">
        <f t="shared" si="32"/>
        <v/>
      </c>
      <c r="FA749" s="1469"/>
      <c r="FB749" s="1469"/>
      <c r="FC749" s="1469"/>
      <c r="FD749" s="1470"/>
      <c r="FE749" s="1468" t="str">
        <f t="shared" si="33"/>
        <v/>
      </c>
      <c r="FF749" s="1469"/>
      <c r="FG749" s="1469"/>
      <c r="FH749" s="1469"/>
      <c r="FI749" s="1470"/>
      <c r="FJ749" s="1468" t="str">
        <f t="shared" si="34"/>
        <v/>
      </c>
      <c r="FK749" s="1469"/>
      <c r="FL749" s="1469"/>
      <c r="FM749" s="1469"/>
      <c r="FN749" s="1470"/>
      <c r="FO749" s="1468" t="str">
        <f t="shared" si="35"/>
        <v/>
      </c>
      <c r="FP749" s="1469"/>
      <c r="FQ749" s="1469"/>
      <c r="FR749" s="1469"/>
      <c r="FS749" s="1470"/>
      <c r="FT749" s="1468" t="str">
        <f t="shared" si="36"/>
        <v/>
      </c>
      <c r="FU749" s="1469"/>
      <c r="FV749" s="1469"/>
      <c r="FW749" s="1469"/>
      <c r="FX749" s="1470"/>
      <c r="FY749" s="1468" t="str">
        <f t="shared" si="37"/>
        <v/>
      </c>
      <c r="FZ749" s="1469"/>
      <c r="GA749" s="1469"/>
      <c r="GB749" s="1469"/>
      <c r="GC749" s="1470"/>
    </row>
    <row r="750" spans="1:185" ht="12.95" customHeight="1">
      <c r="B750" s="1314"/>
      <c r="C750" s="1315"/>
      <c r="D750" s="1315"/>
      <c r="E750" s="1315"/>
      <c r="F750" s="1316"/>
      <c r="G750" s="1311"/>
      <c r="H750" s="1312"/>
      <c r="I750" s="1312"/>
      <c r="J750" s="1313"/>
      <c r="K750" s="1342"/>
      <c r="L750" s="1343"/>
      <c r="M750" s="1343"/>
      <c r="N750" s="1344"/>
      <c r="O750" s="1373"/>
      <c r="P750" s="1374"/>
      <c r="Q750" s="1374"/>
      <c r="R750" s="1374"/>
      <c r="S750" s="1375"/>
      <c r="T750" s="1373"/>
      <c r="U750" s="1374"/>
      <c r="V750" s="1374"/>
      <c r="W750" s="1375"/>
      <c r="X750" s="1370">
        <f t="shared" ref="X750:X759" si="65">O750+T750</f>
        <v>0</v>
      </c>
      <c r="Y750" s="1371"/>
      <c r="Z750" s="1371"/>
      <c r="AA750" s="1371"/>
      <c r="AB750" s="1372"/>
      <c r="AC750" s="1550"/>
      <c r="AD750" s="1551"/>
      <c r="AE750" s="1551"/>
      <c r="AF750" s="1551"/>
      <c r="AG750" s="1552"/>
      <c r="AH750" s="1378" t="str">
        <f t="shared" si="38"/>
        <v/>
      </c>
      <c r="AI750" s="1379"/>
      <c r="AJ750" s="1380"/>
      <c r="AK750" s="1314" t="s">
        <v>590</v>
      </c>
      <c r="AL750" s="1315"/>
      <c r="AM750" s="1315"/>
      <c r="AN750" s="1315"/>
      <c r="AO750" s="1316"/>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468">
        <f t="shared" si="39"/>
        <v>0</v>
      </c>
      <c r="CH750" s="1470"/>
      <c r="CI750" s="1456">
        <f t="shared" si="40"/>
        <v>0</v>
      </c>
      <c r="CJ750" s="1458"/>
      <c r="CK750" s="1468">
        <f t="shared" si="18"/>
        <v>0</v>
      </c>
      <c r="CL750" s="1470"/>
      <c r="CM750" s="1456">
        <f t="shared" si="19"/>
        <v>0</v>
      </c>
      <c r="CN750" s="1458"/>
      <c r="CO750" s="3"/>
      <c r="CP750" s="1459">
        <f t="shared" si="20"/>
        <v>0</v>
      </c>
      <c r="CQ750" s="1460"/>
      <c r="CR750" s="1460"/>
      <c r="CS750" s="1460"/>
      <c r="CT750" s="1461"/>
      <c r="CU750" s="1462">
        <f t="shared" si="21"/>
        <v>0</v>
      </c>
      <c r="CV750" s="1462"/>
      <c r="CW750" s="1462"/>
      <c r="CX750" s="1462"/>
      <c r="CY750" s="1462"/>
      <c r="CZ750" s="1462">
        <f t="shared" si="22"/>
        <v>0</v>
      </c>
      <c r="DA750" s="1462"/>
      <c r="DB750" s="1462"/>
      <c r="DC750" s="1462"/>
      <c r="DD750" s="1462"/>
      <c r="DE750" s="1462">
        <f t="shared" si="23"/>
        <v>0</v>
      </c>
      <c r="DF750" s="1462"/>
      <c r="DG750" s="1462"/>
      <c r="DH750" s="1462"/>
      <c r="DI750" s="1462"/>
      <c r="DJ750" s="1462">
        <f t="shared" si="24"/>
        <v>0</v>
      </c>
      <c r="DK750" s="1462"/>
      <c r="DL750" s="1462"/>
      <c r="DM750" s="1462"/>
      <c r="DN750" s="1462"/>
      <c r="DO750" s="1462">
        <f t="shared" si="25"/>
        <v>0</v>
      </c>
      <c r="DP750" s="1462"/>
      <c r="DQ750" s="1462"/>
      <c r="DR750" s="1462"/>
      <c r="DS750" s="1462"/>
      <c r="DT750" s="6"/>
      <c r="DU750" s="1463">
        <f t="shared" si="26"/>
        <v>0</v>
      </c>
      <c r="DV750" s="1463"/>
      <c r="DW750" s="1463"/>
      <c r="DX750" s="1463"/>
      <c r="DY750" s="1463"/>
      <c r="DZ750" s="1463">
        <f t="shared" si="27"/>
        <v>0</v>
      </c>
      <c r="EA750" s="1463"/>
      <c r="EB750" s="1463"/>
      <c r="EC750" s="1463"/>
      <c r="ED750" s="1463"/>
      <c r="EE750" s="1463">
        <f t="shared" si="28"/>
        <v>0</v>
      </c>
      <c r="EF750" s="1463"/>
      <c r="EG750" s="1463"/>
      <c r="EH750" s="1463"/>
      <c r="EI750" s="1463"/>
      <c r="EJ750" s="1463">
        <f t="shared" si="29"/>
        <v>0</v>
      </c>
      <c r="EK750" s="1463"/>
      <c r="EL750" s="1463"/>
      <c r="EM750" s="1463"/>
      <c r="EN750" s="1463"/>
      <c r="EO750" s="1463">
        <f t="shared" si="30"/>
        <v>0</v>
      </c>
      <c r="EP750" s="1463"/>
      <c r="EQ750" s="1463"/>
      <c r="ER750" s="1463"/>
      <c r="ES750" s="1463"/>
      <c r="ET750" s="1463">
        <f t="shared" si="31"/>
        <v>0</v>
      </c>
      <c r="EU750" s="1463"/>
      <c r="EV750" s="1463"/>
      <c r="EW750" s="1463"/>
      <c r="EX750" s="1463"/>
      <c r="EZ750" s="1468" t="str">
        <f t="shared" si="32"/>
        <v/>
      </c>
      <c r="FA750" s="1469"/>
      <c r="FB750" s="1469"/>
      <c r="FC750" s="1469"/>
      <c r="FD750" s="1470"/>
      <c r="FE750" s="1468" t="str">
        <f t="shared" si="33"/>
        <v/>
      </c>
      <c r="FF750" s="1469"/>
      <c r="FG750" s="1469"/>
      <c r="FH750" s="1469"/>
      <c r="FI750" s="1470"/>
      <c r="FJ750" s="1468" t="str">
        <f t="shared" si="34"/>
        <v/>
      </c>
      <c r="FK750" s="1469"/>
      <c r="FL750" s="1469"/>
      <c r="FM750" s="1469"/>
      <c r="FN750" s="1470"/>
      <c r="FO750" s="1468" t="str">
        <f t="shared" si="35"/>
        <v/>
      </c>
      <c r="FP750" s="1469"/>
      <c r="FQ750" s="1469"/>
      <c r="FR750" s="1469"/>
      <c r="FS750" s="1470"/>
      <c r="FT750" s="1468" t="str">
        <f t="shared" si="36"/>
        <v/>
      </c>
      <c r="FU750" s="1469"/>
      <c r="FV750" s="1469"/>
      <c r="FW750" s="1469"/>
      <c r="FX750" s="1470"/>
      <c r="FY750" s="1468" t="str">
        <f t="shared" si="37"/>
        <v/>
      </c>
      <c r="FZ750" s="1469"/>
      <c r="GA750" s="1469"/>
      <c r="GB750" s="1469"/>
      <c r="GC750" s="1470"/>
    </row>
    <row r="751" spans="1:185" s="3" customFormat="1" ht="12.95" customHeight="1">
      <c r="A751"/>
      <c r="B751" s="1314"/>
      <c r="C751" s="1315"/>
      <c r="D751" s="1315"/>
      <c r="E751" s="1315"/>
      <c r="F751" s="1316"/>
      <c r="G751" s="1311"/>
      <c r="H751" s="1312"/>
      <c r="I751" s="1312"/>
      <c r="J751" s="1313"/>
      <c r="K751" s="1342"/>
      <c r="L751" s="1343"/>
      <c r="M751" s="1343"/>
      <c r="N751" s="1344"/>
      <c r="O751" s="1373"/>
      <c r="P751" s="1374"/>
      <c r="Q751" s="1374"/>
      <c r="R751" s="1374"/>
      <c r="S751" s="1375"/>
      <c r="T751" s="1373"/>
      <c r="U751" s="1374"/>
      <c r="V751" s="1374"/>
      <c r="W751" s="1375"/>
      <c r="X751" s="1370">
        <f t="shared" si="65"/>
        <v>0</v>
      </c>
      <c r="Y751" s="1371"/>
      <c r="Z751" s="1371"/>
      <c r="AA751" s="1371"/>
      <c r="AB751" s="1372"/>
      <c r="AC751" s="1550"/>
      <c r="AD751" s="1551"/>
      <c r="AE751" s="1551"/>
      <c r="AF751" s="1551"/>
      <c r="AG751" s="1552"/>
      <c r="AH751" s="1378" t="str">
        <f t="shared" si="38"/>
        <v/>
      </c>
      <c r="AI751" s="1379"/>
      <c r="AJ751" s="1380"/>
      <c r="AK751" s="1314" t="s">
        <v>590</v>
      </c>
      <c r="AL751" s="1315"/>
      <c r="AM751" s="1315"/>
      <c r="AN751" s="1315"/>
      <c r="AO751" s="1316"/>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468">
        <f t="shared" si="39"/>
        <v>0</v>
      </c>
      <c r="CH751" s="1470"/>
      <c r="CI751" s="1456">
        <f t="shared" si="40"/>
        <v>0</v>
      </c>
      <c r="CJ751" s="1458"/>
      <c r="CK751" s="1468">
        <f t="shared" si="18"/>
        <v>0</v>
      </c>
      <c r="CL751" s="1470"/>
      <c r="CM751" s="1456">
        <f t="shared" si="19"/>
        <v>0</v>
      </c>
      <c r="CN751" s="1458"/>
      <c r="CP751" s="1459">
        <f t="shared" si="20"/>
        <v>0</v>
      </c>
      <c r="CQ751" s="1460"/>
      <c r="CR751" s="1460"/>
      <c r="CS751" s="1460"/>
      <c r="CT751" s="1461"/>
      <c r="CU751" s="1462">
        <f t="shared" si="21"/>
        <v>0</v>
      </c>
      <c r="CV751" s="1462"/>
      <c r="CW751" s="1462"/>
      <c r="CX751" s="1462"/>
      <c r="CY751" s="1462"/>
      <c r="CZ751" s="1462">
        <f t="shared" si="22"/>
        <v>0</v>
      </c>
      <c r="DA751" s="1462"/>
      <c r="DB751" s="1462"/>
      <c r="DC751" s="1462"/>
      <c r="DD751" s="1462"/>
      <c r="DE751" s="1462">
        <f t="shared" si="23"/>
        <v>0</v>
      </c>
      <c r="DF751" s="1462"/>
      <c r="DG751" s="1462"/>
      <c r="DH751" s="1462"/>
      <c r="DI751" s="1462"/>
      <c r="DJ751" s="1462">
        <f t="shared" si="24"/>
        <v>0</v>
      </c>
      <c r="DK751" s="1462"/>
      <c r="DL751" s="1462"/>
      <c r="DM751" s="1462"/>
      <c r="DN751" s="1462"/>
      <c r="DO751" s="1462">
        <f t="shared" si="25"/>
        <v>0</v>
      </c>
      <c r="DP751" s="1462"/>
      <c r="DQ751" s="1462"/>
      <c r="DR751" s="1462"/>
      <c r="DS751" s="1462"/>
      <c r="DT751" s="6"/>
      <c r="DU751" s="1463">
        <f t="shared" si="26"/>
        <v>0</v>
      </c>
      <c r="DV751" s="1463"/>
      <c r="DW751" s="1463"/>
      <c r="DX751" s="1463"/>
      <c r="DY751" s="1463"/>
      <c r="DZ751" s="1463">
        <f t="shared" si="27"/>
        <v>0</v>
      </c>
      <c r="EA751" s="1463"/>
      <c r="EB751" s="1463"/>
      <c r="EC751" s="1463"/>
      <c r="ED751" s="1463"/>
      <c r="EE751" s="1463">
        <f t="shared" si="28"/>
        <v>0</v>
      </c>
      <c r="EF751" s="1463"/>
      <c r="EG751" s="1463"/>
      <c r="EH751" s="1463"/>
      <c r="EI751" s="1463"/>
      <c r="EJ751" s="1463">
        <f t="shared" si="29"/>
        <v>0</v>
      </c>
      <c r="EK751" s="1463"/>
      <c r="EL751" s="1463"/>
      <c r="EM751" s="1463"/>
      <c r="EN751" s="1463"/>
      <c r="EO751" s="1463">
        <f t="shared" si="30"/>
        <v>0</v>
      </c>
      <c r="EP751" s="1463"/>
      <c r="EQ751" s="1463"/>
      <c r="ER751" s="1463"/>
      <c r="ES751" s="1463"/>
      <c r="ET751" s="1463">
        <f t="shared" si="31"/>
        <v>0</v>
      </c>
      <c r="EU751" s="1463"/>
      <c r="EV751" s="1463"/>
      <c r="EW751" s="1463"/>
      <c r="EX751" s="1463"/>
      <c r="EY751"/>
      <c r="EZ751" s="1468" t="str">
        <f t="shared" si="32"/>
        <v/>
      </c>
      <c r="FA751" s="1469"/>
      <c r="FB751" s="1469"/>
      <c r="FC751" s="1469"/>
      <c r="FD751" s="1470"/>
      <c r="FE751" s="1468" t="str">
        <f t="shared" si="33"/>
        <v/>
      </c>
      <c r="FF751" s="1469"/>
      <c r="FG751" s="1469"/>
      <c r="FH751" s="1469"/>
      <c r="FI751" s="1470"/>
      <c r="FJ751" s="1468" t="str">
        <f t="shared" si="34"/>
        <v/>
      </c>
      <c r="FK751" s="1469"/>
      <c r="FL751" s="1469"/>
      <c r="FM751" s="1469"/>
      <c r="FN751" s="1470"/>
      <c r="FO751" s="1468" t="str">
        <f t="shared" si="35"/>
        <v/>
      </c>
      <c r="FP751" s="1469"/>
      <c r="FQ751" s="1469"/>
      <c r="FR751" s="1469"/>
      <c r="FS751" s="1470"/>
      <c r="FT751" s="1468" t="str">
        <f t="shared" si="36"/>
        <v/>
      </c>
      <c r="FU751" s="1469"/>
      <c r="FV751" s="1469"/>
      <c r="FW751" s="1469"/>
      <c r="FX751" s="1470"/>
      <c r="FY751" s="1468" t="str">
        <f t="shared" si="37"/>
        <v/>
      </c>
      <c r="FZ751" s="1469"/>
      <c r="GA751" s="1469"/>
      <c r="GB751" s="1469"/>
      <c r="GC751" s="1470"/>
    </row>
    <row r="752" spans="1:185" ht="12.95" customHeight="1">
      <c r="B752" s="1314"/>
      <c r="C752" s="1315"/>
      <c r="D752" s="1315"/>
      <c r="E752" s="1315"/>
      <c r="F752" s="1316"/>
      <c r="G752" s="1311"/>
      <c r="H752" s="1312"/>
      <c r="I752" s="1312"/>
      <c r="J752" s="1313"/>
      <c r="K752" s="1342"/>
      <c r="L752" s="1343"/>
      <c r="M752" s="1343"/>
      <c r="N752" s="1344"/>
      <c r="O752" s="1373"/>
      <c r="P752" s="1374"/>
      <c r="Q752" s="1374"/>
      <c r="R752" s="1374"/>
      <c r="S752" s="1375"/>
      <c r="T752" s="1373"/>
      <c r="U752" s="1374"/>
      <c r="V752" s="1374"/>
      <c r="W752" s="1375"/>
      <c r="X752" s="1370">
        <f t="shared" si="65"/>
        <v>0</v>
      </c>
      <c r="Y752" s="1371"/>
      <c r="Z752" s="1371"/>
      <c r="AA752" s="1371"/>
      <c r="AB752" s="1372"/>
      <c r="AC752" s="1550"/>
      <c r="AD752" s="1551"/>
      <c r="AE752" s="1551"/>
      <c r="AF752" s="1551"/>
      <c r="AG752" s="1552"/>
      <c r="AH752" s="1378" t="str">
        <f t="shared" si="38"/>
        <v/>
      </c>
      <c r="AI752" s="1379"/>
      <c r="AJ752" s="1380"/>
      <c r="AK752" s="1314" t="s">
        <v>590</v>
      </c>
      <c r="AL752" s="1315"/>
      <c r="AM752" s="1315"/>
      <c r="AN752" s="1315"/>
      <c r="AO752" s="1316"/>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468">
        <f t="shared" si="39"/>
        <v>0</v>
      </c>
      <c r="CH752" s="1470"/>
      <c r="CI752" s="1456">
        <f t="shared" si="40"/>
        <v>0</v>
      </c>
      <c r="CJ752" s="1458"/>
      <c r="CK752" s="1468">
        <f t="shared" si="18"/>
        <v>0</v>
      </c>
      <c r="CL752" s="1470"/>
      <c r="CM752" s="1456">
        <f t="shared" si="19"/>
        <v>0</v>
      </c>
      <c r="CN752" s="1458"/>
      <c r="CO752" s="3"/>
      <c r="CP752" s="1459">
        <f t="shared" si="20"/>
        <v>0</v>
      </c>
      <c r="CQ752" s="1460"/>
      <c r="CR752" s="1460"/>
      <c r="CS752" s="1460"/>
      <c r="CT752" s="1461"/>
      <c r="CU752" s="1462">
        <f t="shared" si="21"/>
        <v>0</v>
      </c>
      <c r="CV752" s="1462"/>
      <c r="CW752" s="1462"/>
      <c r="CX752" s="1462"/>
      <c r="CY752" s="1462"/>
      <c r="CZ752" s="1462">
        <f t="shared" si="22"/>
        <v>0</v>
      </c>
      <c r="DA752" s="1462"/>
      <c r="DB752" s="1462"/>
      <c r="DC752" s="1462"/>
      <c r="DD752" s="1462"/>
      <c r="DE752" s="1462">
        <f t="shared" si="23"/>
        <v>0</v>
      </c>
      <c r="DF752" s="1462"/>
      <c r="DG752" s="1462"/>
      <c r="DH752" s="1462"/>
      <c r="DI752" s="1462"/>
      <c r="DJ752" s="1462">
        <f t="shared" si="24"/>
        <v>0</v>
      </c>
      <c r="DK752" s="1462"/>
      <c r="DL752" s="1462"/>
      <c r="DM752" s="1462"/>
      <c r="DN752" s="1462"/>
      <c r="DO752" s="1462">
        <f t="shared" si="25"/>
        <v>0</v>
      </c>
      <c r="DP752" s="1462"/>
      <c r="DQ752" s="1462"/>
      <c r="DR752" s="1462"/>
      <c r="DS752" s="1462"/>
      <c r="DT752" s="6"/>
      <c r="DU752" s="1463">
        <f t="shared" si="26"/>
        <v>0</v>
      </c>
      <c r="DV752" s="1463"/>
      <c r="DW752" s="1463"/>
      <c r="DX752" s="1463"/>
      <c r="DY752" s="1463"/>
      <c r="DZ752" s="1463">
        <f t="shared" si="27"/>
        <v>0</v>
      </c>
      <c r="EA752" s="1463"/>
      <c r="EB752" s="1463"/>
      <c r="EC752" s="1463"/>
      <c r="ED752" s="1463"/>
      <c r="EE752" s="1463">
        <f t="shared" si="28"/>
        <v>0</v>
      </c>
      <c r="EF752" s="1463"/>
      <c r="EG752" s="1463"/>
      <c r="EH752" s="1463"/>
      <c r="EI752" s="1463"/>
      <c r="EJ752" s="1463">
        <f t="shared" si="29"/>
        <v>0</v>
      </c>
      <c r="EK752" s="1463"/>
      <c r="EL752" s="1463"/>
      <c r="EM752" s="1463"/>
      <c r="EN752" s="1463"/>
      <c r="EO752" s="1463">
        <f t="shared" si="30"/>
        <v>0</v>
      </c>
      <c r="EP752" s="1463"/>
      <c r="EQ752" s="1463"/>
      <c r="ER752" s="1463"/>
      <c r="ES752" s="1463"/>
      <c r="ET752" s="1463">
        <f t="shared" si="31"/>
        <v>0</v>
      </c>
      <c r="EU752" s="1463"/>
      <c r="EV752" s="1463"/>
      <c r="EW752" s="1463"/>
      <c r="EX752" s="1463"/>
      <c r="EZ752" s="1468" t="str">
        <f t="shared" si="32"/>
        <v/>
      </c>
      <c r="FA752" s="1469"/>
      <c r="FB752" s="1469"/>
      <c r="FC752" s="1469"/>
      <c r="FD752" s="1470"/>
      <c r="FE752" s="1468" t="str">
        <f t="shared" si="33"/>
        <v/>
      </c>
      <c r="FF752" s="1469"/>
      <c r="FG752" s="1469"/>
      <c r="FH752" s="1469"/>
      <c r="FI752" s="1470"/>
      <c r="FJ752" s="1468" t="str">
        <f t="shared" si="34"/>
        <v/>
      </c>
      <c r="FK752" s="1469"/>
      <c r="FL752" s="1469"/>
      <c r="FM752" s="1469"/>
      <c r="FN752" s="1470"/>
      <c r="FO752" s="1468" t="str">
        <f t="shared" si="35"/>
        <v/>
      </c>
      <c r="FP752" s="1469"/>
      <c r="FQ752" s="1469"/>
      <c r="FR752" s="1469"/>
      <c r="FS752" s="1470"/>
      <c r="FT752" s="1468" t="str">
        <f t="shared" si="36"/>
        <v/>
      </c>
      <c r="FU752" s="1469"/>
      <c r="FV752" s="1469"/>
      <c r="FW752" s="1469"/>
      <c r="FX752" s="1470"/>
      <c r="FY752" s="1468" t="str">
        <f t="shared" si="37"/>
        <v/>
      </c>
      <c r="FZ752" s="1469"/>
      <c r="GA752" s="1469"/>
      <c r="GB752" s="1469"/>
      <c r="GC752" s="1470"/>
    </row>
    <row r="753" spans="1:185" ht="12.95" customHeight="1">
      <c r="B753" s="1314"/>
      <c r="C753" s="1315"/>
      <c r="D753" s="1315"/>
      <c r="E753" s="1315"/>
      <c r="F753" s="1316"/>
      <c r="G753" s="1311"/>
      <c r="H753" s="1312"/>
      <c r="I753" s="1312"/>
      <c r="J753" s="1313"/>
      <c r="K753" s="1342"/>
      <c r="L753" s="1343"/>
      <c r="M753" s="1343"/>
      <c r="N753" s="1344"/>
      <c r="O753" s="1373"/>
      <c r="P753" s="1374"/>
      <c r="Q753" s="1374"/>
      <c r="R753" s="1374"/>
      <c r="S753" s="1375"/>
      <c r="T753" s="1373"/>
      <c r="U753" s="1374"/>
      <c r="V753" s="1374"/>
      <c r="W753" s="1375"/>
      <c r="X753" s="1370">
        <f t="shared" si="65"/>
        <v>0</v>
      </c>
      <c r="Y753" s="1371"/>
      <c r="Z753" s="1371"/>
      <c r="AA753" s="1371"/>
      <c r="AB753" s="1372"/>
      <c r="AC753" s="1550"/>
      <c r="AD753" s="1551"/>
      <c r="AE753" s="1551"/>
      <c r="AF753" s="1551"/>
      <c r="AG753" s="1552"/>
      <c r="AH753" s="1378" t="str">
        <f t="shared" si="38"/>
        <v/>
      </c>
      <c r="AI753" s="1379"/>
      <c r="AJ753" s="1380"/>
      <c r="AK753" s="1314" t="s">
        <v>590</v>
      </c>
      <c r="AL753" s="1315"/>
      <c r="AM753" s="1315"/>
      <c r="AN753" s="1315"/>
      <c r="AO753" s="1316"/>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468">
        <f t="shared" si="39"/>
        <v>0</v>
      </c>
      <c r="CH753" s="1470"/>
      <c r="CI753" s="1456">
        <f t="shared" si="40"/>
        <v>0</v>
      </c>
      <c r="CJ753" s="1458"/>
      <c r="CK753" s="1468">
        <f t="shared" si="18"/>
        <v>0</v>
      </c>
      <c r="CL753" s="1470"/>
      <c r="CM753" s="1456">
        <f t="shared" si="19"/>
        <v>0</v>
      </c>
      <c r="CN753" s="1458"/>
      <c r="CO753" s="3"/>
      <c r="CP753" s="1459">
        <f t="shared" si="20"/>
        <v>0</v>
      </c>
      <c r="CQ753" s="1460"/>
      <c r="CR753" s="1460"/>
      <c r="CS753" s="1460"/>
      <c r="CT753" s="1461"/>
      <c r="CU753" s="1462">
        <f t="shared" si="21"/>
        <v>0</v>
      </c>
      <c r="CV753" s="1462"/>
      <c r="CW753" s="1462"/>
      <c r="CX753" s="1462"/>
      <c r="CY753" s="1462"/>
      <c r="CZ753" s="1462">
        <f t="shared" si="22"/>
        <v>0</v>
      </c>
      <c r="DA753" s="1462"/>
      <c r="DB753" s="1462"/>
      <c r="DC753" s="1462"/>
      <c r="DD753" s="1462"/>
      <c r="DE753" s="1462">
        <f t="shared" si="23"/>
        <v>0</v>
      </c>
      <c r="DF753" s="1462"/>
      <c r="DG753" s="1462"/>
      <c r="DH753" s="1462"/>
      <c r="DI753" s="1462"/>
      <c r="DJ753" s="1462">
        <f t="shared" si="24"/>
        <v>0</v>
      </c>
      <c r="DK753" s="1462"/>
      <c r="DL753" s="1462"/>
      <c r="DM753" s="1462"/>
      <c r="DN753" s="1462"/>
      <c r="DO753" s="1462">
        <f t="shared" si="25"/>
        <v>0</v>
      </c>
      <c r="DP753" s="1462"/>
      <c r="DQ753" s="1462"/>
      <c r="DR753" s="1462"/>
      <c r="DS753" s="1462"/>
      <c r="DT753" s="6"/>
      <c r="DU753" s="1463">
        <f t="shared" si="26"/>
        <v>0</v>
      </c>
      <c r="DV753" s="1463"/>
      <c r="DW753" s="1463"/>
      <c r="DX753" s="1463"/>
      <c r="DY753" s="1463"/>
      <c r="DZ753" s="1463">
        <f t="shared" si="27"/>
        <v>0</v>
      </c>
      <c r="EA753" s="1463"/>
      <c r="EB753" s="1463"/>
      <c r="EC753" s="1463"/>
      <c r="ED753" s="1463"/>
      <c r="EE753" s="1463">
        <f t="shared" si="28"/>
        <v>0</v>
      </c>
      <c r="EF753" s="1463"/>
      <c r="EG753" s="1463"/>
      <c r="EH753" s="1463"/>
      <c r="EI753" s="1463"/>
      <c r="EJ753" s="1463">
        <f t="shared" si="29"/>
        <v>0</v>
      </c>
      <c r="EK753" s="1463"/>
      <c r="EL753" s="1463"/>
      <c r="EM753" s="1463"/>
      <c r="EN753" s="1463"/>
      <c r="EO753" s="1463">
        <f t="shared" si="30"/>
        <v>0</v>
      </c>
      <c r="EP753" s="1463"/>
      <c r="EQ753" s="1463"/>
      <c r="ER753" s="1463"/>
      <c r="ES753" s="1463"/>
      <c r="ET753" s="1463">
        <f t="shared" si="31"/>
        <v>0</v>
      </c>
      <c r="EU753" s="1463"/>
      <c r="EV753" s="1463"/>
      <c r="EW753" s="1463"/>
      <c r="EX753" s="1463"/>
      <c r="EZ753" s="1468" t="str">
        <f t="shared" si="32"/>
        <v/>
      </c>
      <c r="FA753" s="1469"/>
      <c r="FB753" s="1469"/>
      <c r="FC753" s="1469"/>
      <c r="FD753" s="1470"/>
      <c r="FE753" s="1468" t="str">
        <f t="shared" si="33"/>
        <v/>
      </c>
      <c r="FF753" s="1469"/>
      <c r="FG753" s="1469"/>
      <c r="FH753" s="1469"/>
      <c r="FI753" s="1470"/>
      <c r="FJ753" s="1468" t="str">
        <f t="shared" si="34"/>
        <v/>
      </c>
      <c r="FK753" s="1469"/>
      <c r="FL753" s="1469"/>
      <c r="FM753" s="1469"/>
      <c r="FN753" s="1470"/>
      <c r="FO753" s="1468" t="str">
        <f t="shared" si="35"/>
        <v/>
      </c>
      <c r="FP753" s="1469"/>
      <c r="FQ753" s="1469"/>
      <c r="FR753" s="1469"/>
      <c r="FS753" s="1470"/>
      <c r="FT753" s="1468" t="str">
        <f t="shared" si="36"/>
        <v/>
      </c>
      <c r="FU753" s="1469"/>
      <c r="FV753" s="1469"/>
      <c r="FW753" s="1469"/>
      <c r="FX753" s="1470"/>
      <c r="FY753" s="1468" t="str">
        <f t="shared" si="37"/>
        <v/>
      </c>
      <c r="FZ753" s="1469"/>
      <c r="GA753" s="1469"/>
      <c r="GB753" s="1469"/>
      <c r="GC753" s="1470"/>
    </row>
    <row r="754" spans="1:185" ht="12.95" customHeight="1">
      <c r="B754" s="1314"/>
      <c r="C754" s="1315"/>
      <c r="D754" s="1315"/>
      <c r="E754" s="1315"/>
      <c r="F754" s="1316"/>
      <c r="G754" s="1311"/>
      <c r="H754" s="1312"/>
      <c r="I754" s="1312"/>
      <c r="J754" s="1313"/>
      <c r="K754" s="1342"/>
      <c r="L754" s="1343"/>
      <c r="M754" s="1343"/>
      <c r="N754" s="1344"/>
      <c r="O754" s="1373"/>
      <c r="P754" s="1374"/>
      <c r="Q754" s="1374"/>
      <c r="R754" s="1374"/>
      <c r="S754" s="1375"/>
      <c r="T754" s="1373"/>
      <c r="U754" s="1374"/>
      <c r="V754" s="1374"/>
      <c r="W754" s="1375"/>
      <c r="X754" s="1370">
        <f t="shared" si="65"/>
        <v>0</v>
      </c>
      <c r="Y754" s="1371"/>
      <c r="Z754" s="1371"/>
      <c r="AA754" s="1371"/>
      <c r="AB754" s="1372"/>
      <c r="AC754" s="1550"/>
      <c r="AD754" s="1551"/>
      <c r="AE754" s="1551"/>
      <c r="AF754" s="1551"/>
      <c r="AG754" s="1552"/>
      <c r="AH754" s="1378" t="str">
        <f t="shared" si="38"/>
        <v/>
      </c>
      <c r="AI754" s="1379"/>
      <c r="AJ754" s="1380"/>
      <c r="AK754" s="1314" t="s">
        <v>590</v>
      </c>
      <c r="AL754" s="1315"/>
      <c r="AM754" s="1315"/>
      <c r="AN754" s="1315"/>
      <c r="AO754" s="1316"/>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468">
        <f t="shared" si="39"/>
        <v>0</v>
      </c>
      <c r="CH754" s="1470"/>
      <c r="CI754" s="1456">
        <f t="shared" si="40"/>
        <v>0</v>
      </c>
      <c r="CJ754" s="1458"/>
      <c r="CK754" s="1468">
        <f t="shared" si="18"/>
        <v>0</v>
      </c>
      <c r="CL754" s="1470"/>
      <c r="CM754" s="1456">
        <f t="shared" si="19"/>
        <v>0</v>
      </c>
      <c r="CN754" s="1458"/>
      <c r="CO754" s="3"/>
      <c r="CP754" s="1459">
        <f t="shared" si="20"/>
        <v>0</v>
      </c>
      <c r="CQ754" s="1460"/>
      <c r="CR754" s="1460"/>
      <c r="CS754" s="1460"/>
      <c r="CT754" s="1461"/>
      <c r="CU754" s="1462">
        <f t="shared" si="21"/>
        <v>0</v>
      </c>
      <c r="CV754" s="1462"/>
      <c r="CW754" s="1462"/>
      <c r="CX754" s="1462"/>
      <c r="CY754" s="1462"/>
      <c r="CZ754" s="1462">
        <f t="shared" si="22"/>
        <v>0</v>
      </c>
      <c r="DA754" s="1462"/>
      <c r="DB754" s="1462"/>
      <c r="DC754" s="1462"/>
      <c r="DD754" s="1462"/>
      <c r="DE754" s="1462">
        <f t="shared" si="23"/>
        <v>0</v>
      </c>
      <c r="DF754" s="1462"/>
      <c r="DG754" s="1462"/>
      <c r="DH754" s="1462"/>
      <c r="DI754" s="1462"/>
      <c r="DJ754" s="1462">
        <f t="shared" si="24"/>
        <v>0</v>
      </c>
      <c r="DK754" s="1462"/>
      <c r="DL754" s="1462"/>
      <c r="DM754" s="1462"/>
      <c r="DN754" s="1462"/>
      <c r="DO754" s="1462">
        <f t="shared" si="25"/>
        <v>0</v>
      </c>
      <c r="DP754" s="1462"/>
      <c r="DQ754" s="1462"/>
      <c r="DR754" s="1462"/>
      <c r="DS754" s="1462"/>
      <c r="DT754" s="6"/>
      <c r="DU754" s="1463">
        <f t="shared" si="26"/>
        <v>0</v>
      </c>
      <c r="DV754" s="1463"/>
      <c r="DW754" s="1463"/>
      <c r="DX754" s="1463"/>
      <c r="DY754" s="1463"/>
      <c r="DZ754" s="1463">
        <f t="shared" si="27"/>
        <v>0</v>
      </c>
      <c r="EA754" s="1463"/>
      <c r="EB754" s="1463"/>
      <c r="EC754" s="1463"/>
      <c r="ED754" s="1463"/>
      <c r="EE754" s="1463">
        <f t="shared" si="28"/>
        <v>0</v>
      </c>
      <c r="EF754" s="1463"/>
      <c r="EG754" s="1463"/>
      <c r="EH754" s="1463"/>
      <c r="EI754" s="1463"/>
      <c r="EJ754" s="1463">
        <f t="shared" si="29"/>
        <v>0</v>
      </c>
      <c r="EK754" s="1463"/>
      <c r="EL754" s="1463"/>
      <c r="EM754" s="1463"/>
      <c r="EN754" s="1463"/>
      <c r="EO754" s="1463">
        <f t="shared" si="30"/>
        <v>0</v>
      </c>
      <c r="EP754" s="1463"/>
      <c r="EQ754" s="1463"/>
      <c r="ER754" s="1463"/>
      <c r="ES754" s="1463"/>
      <c r="ET754" s="1463">
        <f t="shared" si="31"/>
        <v>0</v>
      </c>
      <c r="EU754" s="1463"/>
      <c r="EV754" s="1463"/>
      <c r="EW754" s="1463"/>
      <c r="EX754" s="1463"/>
      <c r="EZ754" s="1468" t="str">
        <f t="shared" si="32"/>
        <v/>
      </c>
      <c r="FA754" s="1469"/>
      <c r="FB754" s="1469"/>
      <c r="FC754" s="1469"/>
      <c r="FD754" s="1470"/>
      <c r="FE754" s="1468" t="str">
        <f t="shared" si="33"/>
        <v/>
      </c>
      <c r="FF754" s="1469"/>
      <c r="FG754" s="1469"/>
      <c r="FH754" s="1469"/>
      <c r="FI754" s="1470"/>
      <c r="FJ754" s="1468" t="str">
        <f t="shared" si="34"/>
        <v/>
      </c>
      <c r="FK754" s="1469"/>
      <c r="FL754" s="1469"/>
      <c r="FM754" s="1469"/>
      <c r="FN754" s="1470"/>
      <c r="FO754" s="1468" t="str">
        <f t="shared" si="35"/>
        <v/>
      </c>
      <c r="FP754" s="1469"/>
      <c r="FQ754" s="1469"/>
      <c r="FR754" s="1469"/>
      <c r="FS754" s="1470"/>
      <c r="FT754" s="1468" t="str">
        <f t="shared" si="36"/>
        <v/>
      </c>
      <c r="FU754" s="1469"/>
      <c r="FV754" s="1469"/>
      <c r="FW754" s="1469"/>
      <c r="FX754" s="1470"/>
      <c r="FY754" s="1468" t="str">
        <f t="shared" si="37"/>
        <v/>
      </c>
      <c r="FZ754" s="1469"/>
      <c r="GA754" s="1469"/>
      <c r="GB754" s="1469"/>
      <c r="GC754" s="1470"/>
    </row>
    <row r="755" spans="1:185" ht="12.95" customHeight="1">
      <c r="B755" s="1314"/>
      <c r="C755" s="1315"/>
      <c r="D755" s="1315"/>
      <c r="E755" s="1315"/>
      <c r="F755" s="1316"/>
      <c r="G755" s="1311"/>
      <c r="H755" s="1312"/>
      <c r="I755" s="1312"/>
      <c r="J755" s="1313"/>
      <c r="K755" s="1342"/>
      <c r="L755" s="1343"/>
      <c r="M755" s="1343"/>
      <c r="N755" s="1344"/>
      <c r="O755" s="1373"/>
      <c r="P755" s="1374"/>
      <c r="Q755" s="1374"/>
      <c r="R755" s="1374"/>
      <c r="S755" s="1375"/>
      <c r="T755" s="1373"/>
      <c r="U755" s="1374"/>
      <c r="V755" s="1374"/>
      <c r="W755" s="1375"/>
      <c r="X755" s="1370">
        <f t="shared" si="65"/>
        <v>0</v>
      </c>
      <c r="Y755" s="1371"/>
      <c r="Z755" s="1371"/>
      <c r="AA755" s="1371"/>
      <c r="AB755" s="1372"/>
      <c r="AC755" s="1550"/>
      <c r="AD755" s="1551"/>
      <c r="AE755" s="1551"/>
      <c r="AF755" s="1551"/>
      <c r="AG755" s="1552"/>
      <c r="AH755" s="1378" t="str">
        <f t="shared" si="38"/>
        <v/>
      </c>
      <c r="AI755" s="1379"/>
      <c r="AJ755" s="1380"/>
      <c r="AK755" s="1314" t="s">
        <v>590</v>
      </c>
      <c r="AL755" s="1315"/>
      <c r="AM755" s="1315"/>
      <c r="AN755" s="1315"/>
      <c r="AO755" s="1316"/>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468">
        <f t="shared" si="39"/>
        <v>0</v>
      </c>
      <c r="CH755" s="1470"/>
      <c r="CI755" s="1456">
        <f t="shared" si="40"/>
        <v>0</v>
      </c>
      <c r="CJ755" s="1458"/>
      <c r="CK755" s="1468">
        <f t="shared" si="18"/>
        <v>0</v>
      </c>
      <c r="CL755" s="1470"/>
      <c r="CM755" s="1456">
        <f t="shared" si="19"/>
        <v>0</v>
      </c>
      <c r="CN755" s="1458"/>
      <c r="CO755" s="3"/>
      <c r="CP755" s="1459">
        <f t="shared" si="20"/>
        <v>0</v>
      </c>
      <c r="CQ755" s="1460"/>
      <c r="CR755" s="1460"/>
      <c r="CS755" s="1460"/>
      <c r="CT755" s="1461"/>
      <c r="CU755" s="1462">
        <f t="shared" si="21"/>
        <v>0</v>
      </c>
      <c r="CV755" s="1462"/>
      <c r="CW755" s="1462"/>
      <c r="CX755" s="1462"/>
      <c r="CY755" s="1462"/>
      <c r="CZ755" s="1462">
        <f t="shared" si="22"/>
        <v>0</v>
      </c>
      <c r="DA755" s="1462"/>
      <c r="DB755" s="1462"/>
      <c r="DC755" s="1462"/>
      <c r="DD755" s="1462"/>
      <c r="DE755" s="1462">
        <f t="shared" si="23"/>
        <v>0</v>
      </c>
      <c r="DF755" s="1462"/>
      <c r="DG755" s="1462"/>
      <c r="DH755" s="1462"/>
      <c r="DI755" s="1462"/>
      <c r="DJ755" s="1462">
        <f t="shared" si="24"/>
        <v>0</v>
      </c>
      <c r="DK755" s="1462"/>
      <c r="DL755" s="1462"/>
      <c r="DM755" s="1462"/>
      <c r="DN755" s="1462"/>
      <c r="DO755" s="1462">
        <f t="shared" si="25"/>
        <v>0</v>
      </c>
      <c r="DP755" s="1462"/>
      <c r="DQ755" s="1462"/>
      <c r="DR755" s="1462"/>
      <c r="DS755" s="1462"/>
      <c r="DT755" s="6"/>
      <c r="DU755" s="1463">
        <f t="shared" si="26"/>
        <v>0</v>
      </c>
      <c r="DV755" s="1463"/>
      <c r="DW755" s="1463"/>
      <c r="DX755" s="1463"/>
      <c r="DY755" s="1463"/>
      <c r="DZ755" s="1463">
        <f t="shared" si="27"/>
        <v>0</v>
      </c>
      <c r="EA755" s="1463"/>
      <c r="EB755" s="1463"/>
      <c r="EC755" s="1463"/>
      <c r="ED755" s="1463"/>
      <c r="EE755" s="1463">
        <f t="shared" si="28"/>
        <v>0</v>
      </c>
      <c r="EF755" s="1463"/>
      <c r="EG755" s="1463"/>
      <c r="EH755" s="1463"/>
      <c r="EI755" s="1463"/>
      <c r="EJ755" s="1463">
        <f t="shared" si="29"/>
        <v>0</v>
      </c>
      <c r="EK755" s="1463"/>
      <c r="EL755" s="1463"/>
      <c r="EM755" s="1463"/>
      <c r="EN755" s="1463"/>
      <c r="EO755" s="1463">
        <f t="shared" si="30"/>
        <v>0</v>
      </c>
      <c r="EP755" s="1463"/>
      <c r="EQ755" s="1463"/>
      <c r="ER755" s="1463"/>
      <c r="ES755" s="1463"/>
      <c r="ET755" s="1463">
        <f t="shared" si="31"/>
        <v>0</v>
      </c>
      <c r="EU755" s="1463"/>
      <c r="EV755" s="1463"/>
      <c r="EW755" s="1463"/>
      <c r="EX755" s="1463"/>
      <c r="EZ755" s="1468" t="str">
        <f t="shared" si="32"/>
        <v/>
      </c>
      <c r="FA755" s="1469"/>
      <c r="FB755" s="1469"/>
      <c r="FC755" s="1469"/>
      <c r="FD755" s="1470"/>
      <c r="FE755" s="1468" t="str">
        <f t="shared" si="33"/>
        <v/>
      </c>
      <c r="FF755" s="1469"/>
      <c r="FG755" s="1469"/>
      <c r="FH755" s="1469"/>
      <c r="FI755" s="1470"/>
      <c r="FJ755" s="1468" t="str">
        <f t="shared" si="34"/>
        <v/>
      </c>
      <c r="FK755" s="1469"/>
      <c r="FL755" s="1469"/>
      <c r="FM755" s="1469"/>
      <c r="FN755" s="1470"/>
      <c r="FO755" s="1468" t="str">
        <f t="shared" si="35"/>
        <v/>
      </c>
      <c r="FP755" s="1469"/>
      <c r="FQ755" s="1469"/>
      <c r="FR755" s="1469"/>
      <c r="FS755" s="1470"/>
      <c r="FT755" s="1468" t="str">
        <f t="shared" si="36"/>
        <v/>
      </c>
      <c r="FU755" s="1469"/>
      <c r="FV755" s="1469"/>
      <c r="FW755" s="1469"/>
      <c r="FX755" s="1470"/>
      <c r="FY755" s="1468" t="str">
        <f t="shared" si="37"/>
        <v/>
      </c>
      <c r="FZ755" s="1469"/>
      <c r="GA755" s="1469"/>
      <c r="GB755" s="1469"/>
      <c r="GC755" s="1470"/>
    </row>
    <row r="756" spans="1:185" s="3" customFormat="1" ht="12.95" customHeight="1">
      <c r="A756"/>
      <c r="B756" s="1314"/>
      <c r="C756" s="1315"/>
      <c r="D756" s="1315"/>
      <c r="E756" s="1315"/>
      <c r="F756" s="1316"/>
      <c r="G756" s="1311"/>
      <c r="H756" s="1312"/>
      <c r="I756" s="1312"/>
      <c r="J756" s="1313"/>
      <c r="K756" s="1342"/>
      <c r="L756" s="1343"/>
      <c r="M756" s="1343"/>
      <c r="N756" s="1344"/>
      <c r="O756" s="1373"/>
      <c r="P756" s="1374"/>
      <c r="Q756" s="1374"/>
      <c r="R756" s="1374"/>
      <c r="S756" s="1375"/>
      <c r="T756" s="1373"/>
      <c r="U756" s="1374"/>
      <c r="V756" s="1374"/>
      <c r="W756" s="1375"/>
      <c r="X756" s="1370">
        <f t="shared" si="65"/>
        <v>0</v>
      </c>
      <c r="Y756" s="1371"/>
      <c r="Z756" s="1371"/>
      <c r="AA756" s="1371"/>
      <c r="AB756" s="1372"/>
      <c r="AC756" s="1550"/>
      <c r="AD756" s="1551"/>
      <c r="AE756" s="1551"/>
      <c r="AF756" s="1551"/>
      <c r="AG756" s="1552"/>
      <c r="AH756" s="1378" t="str">
        <f t="shared" si="38"/>
        <v/>
      </c>
      <c r="AI756" s="1379"/>
      <c r="AJ756" s="1380"/>
      <c r="AK756" s="1314" t="s">
        <v>590</v>
      </c>
      <c r="AL756" s="1315"/>
      <c r="AM756" s="1315"/>
      <c r="AN756" s="1315"/>
      <c r="AO756" s="1316"/>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468">
        <f t="shared" si="39"/>
        <v>0</v>
      </c>
      <c r="CH756" s="1470"/>
      <c r="CI756" s="1456">
        <f t="shared" si="40"/>
        <v>0</v>
      </c>
      <c r="CJ756" s="1458"/>
      <c r="CK756" s="1468">
        <f t="shared" si="18"/>
        <v>0</v>
      </c>
      <c r="CL756" s="1470"/>
      <c r="CM756" s="1456">
        <f t="shared" si="19"/>
        <v>0</v>
      </c>
      <c r="CN756" s="1458"/>
      <c r="CP756" s="1459">
        <f t="shared" si="20"/>
        <v>0</v>
      </c>
      <c r="CQ756" s="1460"/>
      <c r="CR756" s="1460"/>
      <c r="CS756" s="1460"/>
      <c r="CT756" s="1461"/>
      <c r="CU756" s="1462">
        <f t="shared" si="21"/>
        <v>0</v>
      </c>
      <c r="CV756" s="1462"/>
      <c r="CW756" s="1462"/>
      <c r="CX756" s="1462"/>
      <c r="CY756" s="1462"/>
      <c r="CZ756" s="1462">
        <f t="shared" si="22"/>
        <v>0</v>
      </c>
      <c r="DA756" s="1462"/>
      <c r="DB756" s="1462"/>
      <c r="DC756" s="1462"/>
      <c r="DD756" s="1462"/>
      <c r="DE756" s="1462">
        <f t="shared" si="23"/>
        <v>0</v>
      </c>
      <c r="DF756" s="1462"/>
      <c r="DG756" s="1462"/>
      <c r="DH756" s="1462"/>
      <c r="DI756" s="1462"/>
      <c r="DJ756" s="1462">
        <f t="shared" si="24"/>
        <v>0</v>
      </c>
      <c r="DK756" s="1462"/>
      <c r="DL756" s="1462"/>
      <c r="DM756" s="1462"/>
      <c r="DN756" s="1462"/>
      <c r="DO756" s="1462">
        <f t="shared" si="25"/>
        <v>0</v>
      </c>
      <c r="DP756" s="1462"/>
      <c r="DQ756" s="1462"/>
      <c r="DR756" s="1462"/>
      <c r="DS756" s="1462"/>
      <c r="DT756" s="6"/>
      <c r="DU756" s="1463">
        <f t="shared" si="26"/>
        <v>0</v>
      </c>
      <c r="DV756" s="1463"/>
      <c r="DW756" s="1463"/>
      <c r="DX756" s="1463"/>
      <c r="DY756" s="1463"/>
      <c r="DZ756" s="1463">
        <f t="shared" si="27"/>
        <v>0</v>
      </c>
      <c r="EA756" s="1463"/>
      <c r="EB756" s="1463"/>
      <c r="EC756" s="1463"/>
      <c r="ED756" s="1463"/>
      <c r="EE756" s="1463">
        <f t="shared" si="28"/>
        <v>0</v>
      </c>
      <c r="EF756" s="1463"/>
      <c r="EG756" s="1463"/>
      <c r="EH756" s="1463"/>
      <c r="EI756" s="1463"/>
      <c r="EJ756" s="1463">
        <f t="shared" si="29"/>
        <v>0</v>
      </c>
      <c r="EK756" s="1463"/>
      <c r="EL756" s="1463"/>
      <c r="EM756" s="1463"/>
      <c r="EN756" s="1463"/>
      <c r="EO756" s="1463">
        <f t="shared" si="30"/>
        <v>0</v>
      </c>
      <c r="EP756" s="1463"/>
      <c r="EQ756" s="1463"/>
      <c r="ER756" s="1463"/>
      <c r="ES756" s="1463"/>
      <c r="ET756" s="1463">
        <f t="shared" si="31"/>
        <v>0</v>
      </c>
      <c r="EU756" s="1463"/>
      <c r="EV756" s="1463"/>
      <c r="EW756" s="1463"/>
      <c r="EX756" s="1463"/>
      <c r="EY756"/>
      <c r="EZ756" s="1468" t="str">
        <f t="shared" si="32"/>
        <v/>
      </c>
      <c r="FA756" s="1469"/>
      <c r="FB756" s="1469"/>
      <c r="FC756" s="1469"/>
      <c r="FD756" s="1470"/>
      <c r="FE756" s="1468" t="str">
        <f t="shared" si="33"/>
        <v/>
      </c>
      <c r="FF756" s="1469"/>
      <c r="FG756" s="1469"/>
      <c r="FH756" s="1469"/>
      <c r="FI756" s="1470"/>
      <c r="FJ756" s="1468" t="str">
        <f t="shared" si="34"/>
        <v/>
      </c>
      <c r="FK756" s="1469"/>
      <c r="FL756" s="1469"/>
      <c r="FM756" s="1469"/>
      <c r="FN756" s="1470"/>
      <c r="FO756" s="1468" t="str">
        <f t="shared" si="35"/>
        <v/>
      </c>
      <c r="FP756" s="1469"/>
      <c r="FQ756" s="1469"/>
      <c r="FR756" s="1469"/>
      <c r="FS756" s="1470"/>
      <c r="FT756" s="1468" t="str">
        <f t="shared" si="36"/>
        <v/>
      </c>
      <c r="FU756" s="1469"/>
      <c r="FV756" s="1469"/>
      <c r="FW756" s="1469"/>
      <c r="FX756" s="1470"/>
      <c r="FY756" s="1468" t="str">
        <f t="shared" si="37"/>
        <v/>
      </c>
      <c r="FZ756" s="1469"/>
      <c r="GA756" s="1469"/>
      <c r="GB756" s="1469"/>
      <c r="GC756" s="1470"/>
    </row>
    <row r="757" spans="1:185" s="3" customFormat="1" ht="12.95" customHeight="1">
      <c r="A757"/>
      <c r="B757" s="1314"/>
      <c r="C757" s="1315"/>
      <c r="D757" s="1315"/>
      <c r="E757" s="1315"/>
      <c r="F757" s="1316"/>
      <c r="G757" s="1311"/>
      <c r="H757" s="1312"/>
      <c r="I757" s="1312"/>
      <c r="J757" s="1313"/>
      <c r="K757" s="1342"/>
      <c r="L757" s="1343"/>
      <c r="M757" s="1343"/>
      <c r="N757" s="1344"/>
      <c r="O757" s="1373"/>
      <c r="P757" s="1374"/>
      <c r="Q757" s="1374"/>
      <c r="R757" s="1374"/>
      <c r="S757" s="1375"/>
      <c r="T757" s="1373"/>
      <c r="U757" s="1374"/>
      <c r="V757" s="1374"/>
      <c r="W757" s="1375"/>
      <c r="X757" s="1370">
        <f t="shared" si="65"/>
        <v>0</v>
      </c>
      <c r="Y757" s="1371"/>
      <c r="Z757" s="1371"/>
      <c r="AA757" s="1371"/>
      <c r="AB757" s="1372"/>
      <c r="AC757" s="1550"/>
      <c r="AD757" s="1551"/>
      <c r="AE757" s="1551"/>
      <c r="AF757" s="1551"/>
      <c r="AG757" s="1552"/>
      <c r="AH757" s="1378" t="str">
        <f t="shared" si="38"/>
        <v/>
      </c>
      <c r="AI757" s="1379"/>
      <c r="AJ757" s="1380"/>
      <c r="AK757" s="1314" t="s">
        <v>590</v>
      </c>
      <c r="AL757" s="1315"/>
      <c r="AM757" s="1315"/>
      <c r="AN757" s="1315"/>
      <c r="AO757" s="1316"/>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468">
        <f t="shared" si="39"/>
        <v>0</v>
      </c>
      <c r="CH757" s="1470"/>
      <c r="CI757" s="1456">
        <f t="shared" si="40"/>
        <v>0</v>
      </c>
      <c r="CJ757" s="1458"/>
      <c r="CK757" s="1468">
        <f t="shared" si="18"/>
        <v>0</v>
      </c>
      <c r="CL757" s="1470"/>
      <c r="CM757" s="1456">
        <f t="shared" si="19"/>
        <v>0</v>
      </c>
      <c r="CN757" s="1458"/>
      <c r="CP757" s="1459">
        <f t="shared" si="20"/>
        <v>0</v>
      </c>
      <c r="CQ757" s="1460"/>
      <c r="CR757" s="1460"/>
      <c r="CS757" s="1460"/>
      <c r="CT757" s="1461"/>
      <c r="CU757" s="1462">
        <f t="shared" si="21"/>
        <v>0</v>
      </c>
      <c r="CV757" s="1462"/>
      <c r="CW757" s="1462"/>
      <c r="CX757" s="1462"/>
      <c r="CY757" s="1462"/>
      <c r="CZ757" s="1462">
        <f t="shared" si="22"/>
        <v>0</v>
      </c>
      <c r="DA757" s="1462"/>
      <c r="DB757" s="1462"/>
      <c r="DC757" s="1462"/>
      <c r="DD757" s="1462"/>
      <c r="DE757" s="1462">
        <f t="shared" si="23"/>
        <v>0</v>
      </c>
      <c r="DF757" s="1462"/>
      <c r="DG757" s="1462"/>
      <c r="DH757" s="1462"/>
      <c r="DI757" s="1462"/>
      <c r="DJ757" s="1462">
        <f t="shared" si="24"/>
        <v>0</v>
      </c>
      <c r="DK757" s="1462"/>
      <c r="DL757" s="1462"/>
      <c r="DM757" s="1462"/>
      <c r="DN757" s="1462"/>
      <c r="DO757" s="1462">
        <f t="shared" si="25"/>
        <v>0</v>
      </c>
      <c r="DP757" s="1462"/>
      <c r="DQ757" s="1462"/>
      <c r="DR757" s="1462"/>
      <c r="DS757" s="1462"/>
      <c r="DT757" s="6"/>
      <c r="DU757" s="1463">
        <f t="shared" si="26"/>
        <v>0</v>
      </c>
      <c r="DV757" s="1463"/>
      <c r="DW757" s="1463"/>
      <c r="DX757" s="1463"/>
      <c r="DY757" s="1463"/>
      <c r="DZ757" s="1463">
        <f t="shared" si="27"/>
        <v>0</v>
      </c>
      <c r="EA757" s="1463"/>
      <c r="EB757" s="1463"/>
      <c r="EC757" s="1463"/>
      <c r="ED757" s="1463"/>
      <c r="EE757" s="1463">
        <f t="shared" si="28"/>
        <v>0</v>
      </c>
      <c r="EF757" s="1463"/>
      <c r="EG757" s="1463"/>
      <c r="EH757" s="1463"/>
      <c r="EI757" s="1463"/>
      <c r="EJ757" s="1463">
        <f t="shared" si="29"/>
        <v>0</v>
      </c>
      <c r="EK757" s="1463"/>
      <c r="EL757" s="1463"/>
      <c r="EM757" s="1463"/>
      <c r="EN757" s="1463"/>
      <c r="EO757" s="1463">
        <f t="shared" si="30"/>
        <v>0</v>
      </c>
      <c r="EP757" s="1463"/>
      <c r="EQ757" s="1463"/>
      <c r="ER757" s="1463"/>
      <c r="ES757" s="1463"/>
      <c r="ET757" s="1463">
        <f t="shared" si="31"/>
        <v>0</v>
      </c>
      <c r="EU757" s="1463"/>
      <c r="EV757" s="1463"/>
      <c r="EW757" s="1463"/>
      <c r="EX757" s="1463"/>
      <c r="EY757"/>
      <c r="EZ757" s="1468" t="str">
        <f t="shared" si="32"/>
        <v/>
      </c>
      <c r="FA757" s="1469"/>
      <c r="FB757" s="1469"/>
      <c r="FC757" s="1469"/>
      <c r="FD757" s="1470"/>
      <c r="FE757" s="1468" t="str">
        <f t="shared" si="33"/>
        <v/>
      </c>
      <c r="FF757" s="1469"/>
      <c r="FG757" s="1469"/>
      <c r="FH757" s="1469"/>
      <c r="FI757" s="1470"/>
      <c r="FJ757" s="1468" t="str">
        <f t="shared" si="34"/>
        <v/>
      </c>
      <c r="FK757" s="1469"/>
      <c r="FL757" s="1469"/>
      <c r="FM757" s="1469"/>
      <c r="FN757" s="1470"/>
      <c r="FO757" s="1468" t="str">
        <f t="shared" si="35"/>
        <v/>
      </c>
      <c r="FP757" s="1469"/>
      <c r="FQ757" s="1469"/>
      <c r="FR757" s="1469"/>
      <c r="FS757" s="1470"/>
      <c r="FT757" s="1468" t="str">
        <f t="shared" si="36"/>
        <v/>
      </c>
      <c r="FU757" s="1469"/>
      <c r="FV757" s="1469"/>
      <c r="FW757" s="1469"/>
      <c r="FX757" s="1470"/>
      <c r="FY757" s="1468" t="str">
        <f t="shared" si="37"/>
        <v/>
      </c>
      <c r="FZ757" s="1469"/>
      <c r="GA757" s="1469"/>
      <c r="GB757" s="1469"/>
      <c r="GC757" s="1470"/>
    </row>
    <row r="758" spans="1:185" s="3" customFormat="1" ht="12.95" customHeight="1">
      <c r="A758"/>
      <c r="B758" s="1314"/>
      <c r="C758" s="1315"/>
      <c r="D758" s="1315"/>
      <c r="E758" s="1315"/>
      <c r="F758" s="1316"/>
      <c r="G758" s="1311"/>
      <c r="H758" s="1312"/>
      <c r="I758" s="1312"/>
      <c r="J758" s="1313"/>
      <c r="K758" s="1342"/>
      <c r="L758" s="1343"/>
      <c r="M758" s="1343"/>
      <c r="N758" s="1344"/>
      <c r="O758" s="1373"/>
      <c r="P758" s="1374"/>
      <c r="Q758" s="1374"/>
      <c r="R758" s="1374"/>
      <c r="S758" s="1375"/>
      <c r="T758" s="1373"/>
      <c r="U758" s="1374"/>
      <c r="V758" s="1374"/>
      <c r="W758" s="1375"/>
      <c r="X758" s="1370">
        <f t="shared" si="65"/>
        <v>0</v>
      </c>
      <c r="Y758" s="1371"/>
      <c r="Z758" s="1371"/>
      <c r="AA758" s="1371"/>
      <c r="AB758" s="1372"/>
      <c r="AC758" s="1550"/>
      <c r="AD758" s="1551"/>
      <c r="AE758" s="1551"/>
      <c r="AF758" s="1551"/>
      <c r="AG758" s="1552"/>
      <c r="AH758" s="1378" t="str">
        <f t="shared" si="38"/>
        <v/>
      </c>
      <c r="AI758" s="1379"/>
      <c r="AJ758" s="1380"/>
      <c r="AK758" s="1314" t="s">
        <v>590</v>
      </c>
      <c r="AL758" s="1315"/>
      <c r="AM758" s="1315"/>
      <c r="AN758" s="1315"/>
      <c r="AO758" s="1316"/>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468">
        <f t="shared" si="39"/>
        <v>0</v>
      </c>
      <c r="CH758" s="1470"/>
      <c r="CI758" s="1456">
        <f t="shared" si="40"/>
        <v>0</v>
      </c>
      <c r="CJ758" s="1458"/>
      <c r="CK758" s="1468">
        <f t="shared" si="18"/>
        <v>0</v>
      </c>
      <c r="CL758" s="1470"/>
      <c r="CM758" s="1456">
        <f t="shared" si="19"/>
        <v>0</v>
      </c>
      <c r="CN758" s="1458"/>
      <c r="CP758" s="1459">
        <f t="shared" si="20"/>
        <v>0</v>
      </c>
      <c r="CQ758" s="1460"/>
      <c r="CR758" s="1460"/>
      <c r="CS758" s="1460"/>
      <c r="CT758" s="1461"/>
      <c r="CU758" s="1462">
        <f t="shared" si="21"/>
        <v>0</v>
      </c>
      <c r="CV758" s="1462"/>
      <c r="CW758" s="1462"/>
      <c r="CX758" s="1462"/>
      <c r="CY758" s="1462"/>
      <c r="CZ758" s="1462">
        <f t="shared" si="22"/>
        <v>0</v>
      </c>
      <c r="DA758" s="1462"/>
      <c r="DB758" s="1462"/>
      <c r="DC758" s="1462"/>
      <c r="DD758" s="1462"/>
      <c r="DE758" s="1462">
        <f t="shared" si="23"/>
        <v>0</v>
      </c>
      <c r="DF758" s="1462"/>
      <c r="DG758" s="1462"/>
      <c r="DH758" s="1462"/>
      <c r="DI758" s="1462"/>
      <c r="DJ758" s="1462">
        <f t="shared" si="24"/>
        <v>0</v>
      </c>
      <c r="DK758" s="1462"/>
      <c r="DL758" s="1462"/>
      <c r="DM758" s="1462"/>
      <c r="DN758" s="1462"/>
      <c r="DO758" s="1462">
        <f t="shared" si="25"/>
        <v>0</v>
      </c>
      <c r="DP758" s="1462"/>
      <c r="DQ758" s="1462"/>
      <c r="DR758" s="1462"/>
      <c r="DS758" s="1462"/>
      <c r="DT758" s="6"/>
      <c r="DU758" s="1463">
        <f t="shared" si="26"/>
        <v>0</v>
      </c>
      <c r="DV758" s="1463"/>
      <c r="DW758" s="1463"/>
      <c r="DX758" s="1463"/>
      <c r="DY758" s="1463"/>
      <c r="DZ758" s="1463">
        <f t="shared" si="27"/>
        <v>0</v>
      </c>
      <c r="EA758" s="1463"/>
      <c r="EB758" s="1463"/>
      <c r="EC758" s="1463"/>
      <c r="ED758" s="1463"/>
      <c r="EE758" s="1463">
        <f t="shared" si="28"/>
        <v>0</v>
      </c>
      <c r="EF758" s="1463"/>
      <c r="EG758" s="1463"/>
      <c r="EH758" s="1463"/>
      <c r="EI758" s="1463"/>
      <c r="EJ758" s="1463">
        <f t="shared" si="29"/>
        <v>0</v>
      </c>
      <c r="EK758" s="1463"/>
      <c r="EL758" s="1463"/>
      <c r="EM758" s="1463"/>
      <c r="EN758" s="1463"/>
      <c r="EO758" s="1463">
        <f t="shared" si="30"/>
        <v>0</v>
      </c>
      <c r="EP758" s="1463"/>
      <c r="EQ758" s="1463"/>
      <c r="ER758" s="1463"/>
      <c r="ES758" s="1463"/>
      <c r="ET758" s="1463">
        <f t="shared" si="31"/>
        <v>0</v>
      </c>
      <c r="EU758" s="1463"/>
      <c r="EV758" s="1463"/>
      <c r="EW758" s="1463"/>
      <c r="EX758" s="1463"/>
      <c r="EY758"/>
      <c r="EZ758" s="1468" t="str">
        <f t="shared" si="32"/>
        <v/>
      </c>
      <c r="FA758" s="1469"/>
      <c r="FB758" s="1469"/>
      <c r="FC758" s="1469"/>
      <c r="FD758" s="1470"/>
      <c r="FE758" s="1468" t="str">
        <f t="shared" si="33"/>
        <v/>
      </c>
      <c r="FF758" s="1469"/>
      <c r="FG758" s="1469"/>
      <c r="FH758" s="1469"/>
      <c r="FI758" s="1470"/>
      <c r="FJ758" s="1468" t="str">
        <f t="shared" si="34"/>
        <v/>
      </c>
      <c r="FK758" s="1469"/>
      <c r="FL758" s="1469"/>
      <c r="FM758" s="1469"/>
      <c r="FN758" s="1470"/>
      <c r="FO758" s="1468" t="str">
        <f t="shared" si="35"/>
        <v/>
      </c>
      <c r="FP758" s="1469"/>
      <c r="FQ758" s="1469"/>
      <c r="FR758" s="1469"/>
      <c r="FS758" s="1470"/>
      <c r="FT758" s="1468" t="str">
        <f t="shared" si="36"/>
        <v/>
      </c>
      <c r="FU758" s="1469"/>
      <c r="FV758" s="1469"/>
      <c r="FW758" s="1469"/>
      <c r="FX758" s="1470"/>
      <c r="FY758" s="1468" t="str">
        <f t="shared" si="37"/>
        <v/>
      </c>
      <c r="FZ758" s="1469"/>
      <c r="GA758" s="1469"/>
      <c r="GB758" s="1469"/>
      <c r="GC758" s="1470"/>
    </row>
    <row r="759" spans="1:185" s="3" customFormat="1" ht="12.95" customHeight="1">
      <c r="A759"/>
      <c r="B759" s="1314"/>
      <c r="C759" s="1315"/>
      <c r="D759" s="1315"/>
      <c r="E759" s="1315"/>
      <c r="F759" s="1316"/>
      <c r="G759" s="1311"/>
      <c r="H759" s="1312"/>
      <c r="I759" s="1312"/>
      <c r="J759" s="1313"/>
      <c r="K759" s="1342"/>
      <c r="L759" s="1343"/>
      <c r="M759" s="1343"/>
      <c r="N759" s="1344"/>
      <c r="O759" s="1373"/>
      <c r="P759" s="1374"/>
      <c r="Q759" s="1374"/>
      <c r="R759" s="1374"/>
      <c r="S759" s="1375"/>
      <c r="T759" s="1373"/>
      <c r="U759" s="1374"/>
      <c r="V759" s="1374"/>
      <c r="W759" s="1375"/>
      <c r="X759" s="1370">
        <f t="shared" si="65"/>
        <v>0</v>
      </c>
      <c r="Y759" s="1371"/>
      <c r="Z759" s="1371"/>
      <c r="AA759" s="1371"/>
      <c r="AB759" s="1372"/>
      <c r="AC759" s="1550"/>
      <c r="AD759" s="1551"/>
      <c r="AE759" s="1551"/>
      <c r="AF759" s="1551"/>
      <c r="AG759" s="1552"/>
      <c r="AH759" s="1378" t="str">
        <f t="shared" si="38"/>
        <v/>
      </c>
      <c r="AI759" s="1379"/>
      <c r="AJ759" s="1380"/>
      <c r="AK759" s="1314" t="s">
        <v>590</v>
      </c>
      <c r="AL759" s="1315"/>
      <c r="AM759" s="1315"/>
      <c r="AN759" s="1315"/>
      <c r="AO759" s="1316"/>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468">
        <f t="shared" si="39"/>
        <v>0</v>
      </c>
      <c r="CH759" s="1470"/>
      <c r="CI759" s="1456">
        <f t="shared" si="40"/>
        <v>0</v>
      </c>
      <c r="CJ759" s="1458"/>
      <c r="CK759" s="1468">
        <f t="shared" si="18"/>
        <v>0</v>
      </c>
      <c r="CL759" s="1470"/>
      <c r="CM759" s="1456">
        <f t="shared" si="19"/>
        <v>0</v>
      </c>
      <c r="CN759" s="1458"/>
      <c r="CP759" s="1459">
        <f t="shared" si="20"/>
        <v>0</v>
      </c>
      <c r="CQ759" s="1460"/>
      <c r="CR759" s="1460"/>
      <c r="CS759" s="1460"/>
      <c r="CT759" s="1461"/>
      <c r="CU759" s="1462">
        <f t="shared" si="21"/>
        <v>0</v>
      </c>
      <c r="CV759" s="1462"/>
      <c r="CW759" s="1462"/>
      <c r="CX759" s="1462"/>
      <c r="CY759" s="1462"/>
      <c r="CZ759" s="1462">
        <f t="shared" si="22"/>
        <v>0</v>
      </c>
      <c r="DA759" s="1462"/>
      <c r="DB759" s="1462"/>
      <c r="DC759" s="1462"/>
      <c r="DD759" s="1462"/>
      <c r="DE759" s="1462">
        <f t="shared" si="23"/>
        <v>0</v>
      </c>
      <c r="DF759" s="1462"/>
      <c r="DG759" s="1462"/>
      <c r="DH759" s="1462"/>
      <c r="DI759" s="1462"/>
      <c r="DJ759" s="1462">
        <f t="shared" si="24"/>
        <v>0</v>
      </c>
      <c r="DK759" s="1462"/>
      <c r="DL759" s="1462"/>
      <c r="DM759" s="1462"/>
      <c r="DN759" s="1462"/>
      <c r="DO759" s="1462">
        <f t="shared" si="25"/>
        <v>0</v>
      </c>
      <c r="DP759" s="1462"/>
      <c r="DQ759" s="1462"/>
      <c r="DR759" s="1462"/>
      <c r="DS759" s="1462"/>
      <c r="DT759" s="6"/>
      <c r="DU759" s="1463">
        <f t="shared" si="26"/>
        <v>0</v>
      </c>
      <c r="DV759" s="1463"/>
      <c r="DW759" s="1463"/>
      <c r="DX759" s="1463"/>
      <c r="DY759" s="1463"/>
      <c r="DZ759" s="1463">
        <f t="shared" si="27"/>
        <v>0</v>
      </c>
      <c r="EA759" s="1463"/>
      <c r="EB759" s="1463"/>
      <c r="EC759" s="1463"/>
      <c r="ED759" s="1463"/>
      <c r="EE759" s="1463">
        <f t="shared" si="28"/>
        <v>0</v>
      </c>
      <c r="EF759" s="1463"/>
      <c r="EG759" s="1463"/>
      <c r="EH759" s="1463"/>
      <c r="EI759" s="1463"/>
      <c r="EJ759" s="1463">
        <f t="shared" si="29"/>
        <v>0</v>
      </c>
      <c r="EK759" s="1463"/>
      <c r="EL759" s="1463"/>
      <c r="EM759" s="1463"/>
      <c r="EN759" s="1463"/>
      <c r="EO759" s="1463">
        <f t="shared" si="30"/>
        <v>0</v>
      </c>
      <c r="EP759" s="1463"/>
      <c r="EQ759" s="1463"/>
      <c r="ER759" s="1463"/>
      <c r="ES759" s="1463"/>
      <c r="ET759" s="1463">
        <f t="shared" si="31"/>
        <v>0</v>
      </c>
      <c r="EU759" s="1463"/>
      <c r="EV759" s="1463"/>
      <c r="EW759" s="1463"/>
      <c r="EX759" s="1463"/>
      <c r="EY759"/>
      <c r="EZ759" s="1468" t="str">
        <f t="shared" si="32"/>
        <v/>
      </c>
      <c r="FA759" s="1469"/>
      <c r="FB759" s="1469"/>
      <c r="FC759" s="1469"/>
      <c r="FD759" s="1470"/>
      <c r="FE759" s="1468" t="str">
        <f t="shared" si="33"/>
        <v/>
      </c>
      <c r="FF759" s="1469"/>
      <c r="FG759" s="1469"/>
      <c r="FH759" s="1469"/>
      <c r="FI759" s="1470"/>
      <c r="FJ759" s="1468" t="str">
        <f t="shared" si="34"/>
        <v/>
      </c>
      <c r="FK759" s="1469"/>
      <c r="FL759" s="1469"/>
      <c r="FM759" s="1469"/>
      <c r="FN759" s="1470"/>
      <c r="FO759" s="1468" t="str">
        <f t="shared" si="35"/>
        <v/>
      </c>
      <c r="FP759" s="1469"/>
      <c r="FQ759" s="1469"/>
      <c r="FR759" s="1469"/>
      <c r="FS759" s="1470"/>
      <c r="FT759" s="1468" t="str">
        <f t="shared" si="36"/>
        <v/>
      </c>
      <c r="FU759" s="1469"/>
      <c r="FV759" s="1469"/>
      <c r="FW759" s="1469"/>
      <c r="FX759" s="1470"/>
      <c r="FY759" s="1468" t="str">
        <f t="shared" si="37"/>
        <v/>
      </c>
      <c r="FZ759" s="1469"/>
      <c r="GA759" s="1469"/>
      <c r="GB759" s="1469"/>
      <c r="GC759" s="1470"/>
    </row>
    <row r="760" spans="1:185" s="3" customFormat="1" ht="12.95" customHeight="1">
      <c r="A760"/>
      <c r="B760" s="1314"/>
      <c r="C760" s="1315"/>
      <c r="D760" s="1315"/>
      <c r="E760" s="1315"/>
      <c r="F760" s="1316"/>
      <c r="G760" s="1311"/>
      <c r="H760" s="1312"/>
      <c r="I760" s="1312"/>
      <c r="J760" s="1313"/>
      <c r="K760" s="1342"/>
      <c r="L760" s="1343"/>
      <c r="M760" s="1343"/>
      <c r="N760" s="1344"/>
      <c r="O760" s="1373"/>
      <c r="P760" s="1374"/>
      <c r="Q760" s="1374"/>
      <c r="R760" s="1374"/>
      <c r="S760" s="1375"/>
      <c r="T760" s="1373"/>
      <c r="U760" s="1374"/>
      <c r="V760" s="1374"/>
      <c r="W760" s="1375"/>
      <c r="X760" s="1370">
        <f>O760+T760</f>
        <v>0</v>
      </c>
      <c r="Y760" s="1371"/>
      <c r="Z760" s="1371"/>
      <c r="AA760" s="1371"/>
      <c r="AB760" s="1372"/>
      <c r="AC760" s="1550"/>
      <c r="AD760" s="1551"/>
      <c r="AE760" s="1551"/>
      <c r="AF760" s="1551"/>
      <c r="AG760" s="1552"/>
      <c r="AH760" s="1378" t="str">
        <f t="shared" si="38"/>
        <v/>
      </c>
      <c r="AI760" s="1379"/>
      <c r="AJ760" s="1380"/>
      <c r="AK760" s="1314" t="s">
        <v>590</v>
      </c>
      <c r="AL760" s="1315"/>
      <c r="AM760" s="1315"/>
      <c r="AN760" s="1315"/>
      <c r="AO760" s="1316"/>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468">
        <f t="shared" si="39"/>
        <v>0</v>
      </c>
      <c r="CH760" s="1470"/>
      <c r="CI760" s="1456">
        <f t="shared" si="40"/>
        <v>0</v>
      </c>
      <c r="CJ760" s="1458"/>
      <c r="CK760" s="1468">
        <f t="shared" si="18"/>
        <v>0</v>
      </c>
      <c r="CL760" s="1470"/>
      <c r="CM760" s="1456">
        <f t="shared" si="19"/>
        <v>0</v>
      </c>
      <c r="CN760" s="1458"/>
      <c r="CP760" s="1459">
        <f t="shared" si="20"/>
        <v>0</v>
      </c>
      <c r="CQ760" s="1460"/>
      <c r="CR760" s="1460"/>
      <c r="CS760" s="1460"/>
      <c r="CT760" s="1461"/>
      <c r="CU760" s="1462">
        <f t="shared" si="21"/>
        <v>0</v>
      </c>
      <c r="CV760" s="1462"/>
      <c r="CW760" s="1462"/>
      <c r="CX760" s="1462"/>
      <c r="CY760" s="1462"/>
      <c r="CZ760" s="1462">
        <f t="shared" si="22"/>
        <v>0</v>
      </c>
      <c r="DA760" s="1462"/>
      <c r="DB760" s="1462"/>
      <c r="DC760" s="1462"/>
      <c r="DD760" s="1462"/>
      <c r="DE760" s="1462">
        <f t="shared" si="23"/>
        <v>0</v>
      </c>
      <c r="DF760" s="1462"/>
      <c r="DG760" s="1462"/>
      <c r="DH760" s="1462"/>
      <c r="DI760" s="1462"/>
      <c r="DJ760" s="1462">
        <f t="shared" si="24"/>
        <v>0</v>
      </c>
      <c r="DK760" s="1462"/>
      <c r="DL760" s="1462"/>
      <c r="DM760" s="1462"/>
      <c r="DN760" s="1462"/>
      <c r="DO760" s="1462">
        <f t="shared" si="25"/>
        <v>0</v>
      </c>
      <c r="DP760" s="1462"/>
      <c r="DQ760" s="1462"/>
      <c r="DR760" s="1462"/>
      <c r="DS760" s="1462"/>
      <c r="DT760" s="6"/>
      <c r="DU760" s="1463">
        <f t="shared" si="26"/>
        <v>0</v>
      </c>
      <c r="DV760" s="1463"/>
      <c r="DW760" s="1463"/>
      <c r="DX760" s="1463"/>
      <c r="DY760" s="1463"/>
      <c r="DZ760" s="1463">
        <f t="shared" si="27"/>
        <v>0</v>
      </c>
      <c r="EA760" s="1463"/>
      <c r="EB760" s="1463"/>
      <c r="EC760" s="1463"/>
      <c r="ED760" s="1463"/>
      <c r="EE760" s="1463">
        <f t="shared" si="28"/>
        <v>0</v>
      </c>
      <c r="EF760" s="1463"/>
      <c r="EG760" s="1463"/>
      <c r="EH760" s="1463"/>
      <c r="EI760" s="1463"/>
      <c r="EJ760" s="1463">
        <f t="shared" si="29"/>
        <v>0</v>
      </c>
      <c r="EK760" s="1463"/>
      <c r="EL760" s="1463"/>
      <c r="EM760" s="1463"/>
      <c r="EN760" s="1463"/>
      <c r="EO760" s="1463">
        <f t="shared" si="30"/>
        <v>0</v>
      </c>
      <c r="EP760" s="1463"/>
      <c r="EQ760" s="1463"/>
      <c r="ER760" s="1463"/>
      <c r="ES760" s="1463"/>
      <c r="ET760" s="1463">
        <f t="shared" si="31"/>
        <v>0</v>
      </c>
      <c r="EU760" s="1463"/>
      <c r="EV760" s="1463"/>
      <c r="EW760" s="1463"/>
      <c r="EX760" s="1463"/>
      <c r="EY760"/>
      <c r="EZ760" s="1468" t="str">
        <f t="shared" si="32"/>
        <v/>
      </c>
      <c r="FA760" s="1469"/>
      <c r="FB760" s="1469"/>
      <c r="FC760" s="1469"/>
      <c r="FD760" s="1470"/>
      <c r="FE760" s="1468" t="str">
        <f t="shared" si="33"/>
        <v/>
      </c>
      <c r="FF760" s="1469"/>
      <c r="FG760" s="1469"/>
      <c r="FH760" s="1469"/>
      <c r="FI760" s="1470"/>
      <c r="FJ760" s="1468" t="str">
        <f t="shared" si="34"/>
        <v/>
      </c>
      <c r="FK760" s="1469"/>
      <c r="FL760" s="1469"/>
      <c r="FM760" s="1469"/>
      <c r="FN760" s="1470"/>
      <c r="FO760" s="1468" t="str">
        <f t="shared" si="35"/>
        <v/>
      </c>
      <c r="FP760" s="1469"/>
      <c r="FQ760" s="1469"/>
      <c r="FR760" s="1469"/>
      <c r="FS760" s="1470"/>
      <c r="FT760" s="1468" t="str">
        <f t="shared" si="36"/>
        <v/>
      </c>
      <c r="FU760" s="1469"/>
      <c r="FV760" s="1469"/>
      <c r="FW760" s="1469"/>
      <c r="FX760" s="1470"/>
      <c r="FY760" s="1468" t="str">
        <f t="shared" si="37"/>
        <v/>
      </c>
      <c r="FZ760" s="1469"/>
      <c r="GA760" s="1469"/>
      <c r="GB760" s="1469"/>
      <c r="GC760" s="1470"/>
    </row>
    <row r="761" spans="1:185" s="3" customFormat="1" ht="12.95" customHeight="1">
      <c r="A761"/>
      <c r="B761" s="1388" t="s">
        <v>125</v>
      </c>
      <c r="C761" s="1389"/>
      <c r="D761" s="1389"/>
      <c r="E761" s="1389"/>
      <c r="F761" s="1390"/>
      <c r="G761" s="1654">
        <f>SUM(G726:G760)</f>
        <v>203</v>
      </c>
      <c r="H761" s="1655"/>
      <c r="I761" s="1655"/>
      <c r="J761" s="1656"/>
      <c r="K761" s="898" t="s">
        <v>124</v>
      </c>
      <c r="L761" s="5"/>
      <c r="M761" s="5"/>
      <c r="N761" s="46"/>
      <c r="O761" s="1370">
        <f>SUMPRODUCT(G726:G760,O726:O760)</f>
        <v>348852</v>
      </c>
      <c r="P761" s="1371"/>
      <c r="Q761" s="1371"/>
      <c r="R761" s="1371"/>
      <c r="S761" s="1372"/>
      <c r="T761"/>
      <c r="U761"/>
      <c r="V761"/>
      <c r="W761"/>
      <c r="X761" s="900" t="s">
        <v>899</v>
      </c>
      <c r="Y761" s="899"/>
      <c r="Z761" s="899"/>
      <c r="AA761" s="899"/>
      <c r="AB761" s="901"/>
      <c r="AC761" s="1584">
        <f>BH761</f>
        <v>0.57241379310344831</v>
      </c>
      <c r="AD761" s="1585"/>
      <c r="AE761" s="1585"/>
      <c r="AF761" s="1585"/>
      <c r="AG761" s="1586"/>
      <c r="AH761" s="1584">
        <f>IFERROR(BU761,"")</f>
        <v>0.55900478726481373</v>
      </c>
      <c r="AI761" s="1585"/>
      <c r="AJ761" s="1586"/>
      <c r="AK761"/>
      <c r="AL761"/>
      <c r="AM761"/>
      <c r="AN761"/>
      <c r="AO761"/>
      <c r="AP761" s="205"/>
      <c r="AQ761" s="205"/>
      <c r="AR761" s="205"/>
      <c r="AS761" s="205"/>
      <c r="AT761"/>
      <c r="AU761"/>
      <c r="AV761"/>
      <c r="AW761"/>
      <c r="AX761"/>
      <c r="AY761"/>
      <c r="AZ761" s="34"/>
      <c r="BA761" s="34"/>
      <c r="BB761" s="34"/>
      <c r="BC761" s="34"/>
      <c r="BE761" s="290" t="s">
        <v>898</v>
      </c>
      <c r="BF761" s="299">
        <f>SUM(BF726:BF760)</f>
        <v>203</v>
      </c>
      <c r="BG761" s="300">
        <f>SUM(BG726:BG760)</f>
        <v>0.99999999999999989</v>
      </c>
      <c r="BH761" s="300">
        <f>SUM(BH726:BH760)</f>
        <v>0.57241379310344831</v>
      </c>
      <c r="BI761"/>
      <c r="BJ761"/>
      <c r="BK761"/>
      <c r="BL761"/>
      <c r="BO761"/>
      <c r="BP761"/>
      <c r="BQ761"/>
      <c r="BR761"/>
      <c r="BS761" s="855">
        <f>SUM(BS726:BS760)</f>
        <v>203</v>
      </c>
      <c r="BT761" s="300">
        <f>SUM(BT726:BT760)</f>
        <v>0.99999999999999989</v>
      </c>
      <c r="BU761" s="300">
        <f>SUM(BU726:BU760)</f>
        <v>0.55900478726481373</v>
      </c>
      <c r="CI761" s="1468">
        <f>SUM(CI726:CJ760)</f>
        <v>41</v>
      </c>
      <c r="CJ761" s="1470"/>
      <c r="CM761" s="1468">
        <f>SUM(CM726:CN760)</f>
        <v>21</v>
      </c>
      <c r="CN761" s="1470"/>
      <c r="CP761" s="1468">
        <f>SUM(CP726:CT760)</f>
        <v>4</v>
      </c>
      <c r="CQ761" s="1469"/>
      <c r="CR761" s="1469"/>
      <c r="CS761" s="1469"/>
      <c r="CT761" s="1470"/>
      <c r="CU761" s="1464">
        <f>SUM(CU726:CY760)</f>
        <v>79</v>
      </c>
      <c r="CV761" s="1464"/>
      <c r="CW761" s="1464"/>
      <c r="CX761" s="1464"/>
      <c r="CY761" s="1464"/>
      <c r="CZ761" s="1464">
        <f>SUM(CZ726:DD760)</f>
        <v>120</v>
      </c>
      <c r="DA761" s="1464"/>
      <c r="DB761" s="1464"/>
      <c r="DC761" s="1464"/>
      <c r="DD761" s="1464"/>
      <c r="DE761" s="1464">
        <f>SUM(DE726:DI760)</f>
        <v>0</v>
      </c>
      <c r="DF761" s="1464"/>
      <c r="DG761" s="1464"/>
      <c r="DH761" s="1464"/>
      <c r="DI761" s="1464"/>
      <c r="DJ761" s="1464">
        <f>SUM(DJ726:DN760)</f>
        <v>0</v>
      </c>
      <c r="DK761" s="1464"/>
      <c r="DL761" s="1464"/>
      <c r="DM761" s="1464"/>
      <c r="DN761" s="1464"/>
      <c r="DO761" s="1464">
        <f>SUM(DO726:DS760)</f>
        <v>0</v>
      </c>
      <c r="DP761" s="1464"/>
      <c r="DQ761" s="1464"/>
      <c r="DR761" s="1464"/>
      <c r="DS761" s="1464"/>
      <c r="DT761" s="354"/>
      <c r="DU761" s="1464">
        <f>SUM(DU726:DY760)</f>
        <v>1</v>
      </c>
      <c r="DV761" s="1464"/>
      <c r="DW761" s="1464"/>
      <c r="DX761" s="1464"/>
      <c r="DY761" s="1464"/>
      <c r="DZ761" s="1464">
        <f>SUM(DZ726:ED760)</f>
        <v>8</v>
      </c>
      <c r="EA761" s="1464"/>
      <c r="EB761" s="1464"/>
      <c r="EC761" s="1464"/>
      <c r="ED761" s="1464"/>
      <c r="EE761" s="1464">
        <f>SUM(EE726:EI760)</f>
        <v>12</v>
      </c>
      <c r="EF761" s="1464"/>
      <c r="EG761" s="1464"/>
      <c r="EH761" s="1464"/>
      <c r="EI761" s="1464"/>
      <c r="EJ761" s="1464">
        <f>SUM(EJ726:EN760)</f>
        <v>0</v>
      </c>
      <c r="EK761" s="1464"/>
      <c r="EL761" s="1464"/>
      <c r="EM761" s="1464"/>
      <c r="EN761" s="1464"/>
      <c r="EO761" s="1464">
        <f>SUM(EO726:ES760)</f>
        <v>0</v>
      </c>
      <c r="EP761" s="1464"/>
      <c r="EQ761" s="1464"/>
      <c r="ER761" s="1464"/>
      <c r="ES761" s="1464"/>
      <c r="ET761" s="1464">
        <f>SUM(ET726:EX760)</f>
        <v>0</v>
      </c>
      <c r="EU761" s="1464"/>
      <c r="EV761" s="1464"/>
      <c r="EW761" s="1464"/>
      <c r="EX761" s="1464"/>
      <c r="EY761"/>
      <c r="EZ761" s="1464">
        <f>SUM(EZ726:FD760)</f>
        <v>5182</v>
      </c>
      <c r="FA761" s="1464"/>
      <c r="FB761" s="1464"/>
      <c r="FC761" s="1464"/>
      <c r="FD761" s="1464"/>
      <c r="FE761" s="1464">
        <f>SUM(FE726:FI760)</f>
        <v>5613</v>
      </c>
      <c r="FF761" s="1464"/>
      <c r="FG761" s="1464"/>
      <c r="FH761" s="1464"/>
      <c r="FI761" s="1464"/>
      <c r="FJ761" s="1464">
        <f>SUM(FJ726:FN760)</f>
        <v>6714</v>
      </c>
      <c r="FK761" s="1464"/>
      <c r="FL761" s="1464"/>
      <c r="FM761" s="1464"/>
      <c r="FN761" s="1464"/>
      <c r="FO761" s="1464">
        <f>SUM(FO726:FS760)</f>
        <v>0</v>
      </c>
      <c r="FP761" s="1464"/>
      <c r="FQ761" s="1464"/>
      <c r="FR761" s="1464"/>
      <c r="FS761" s="1464"/>
      <c r="FT761" s="1464">
        <f>SUM(FT726:FX760)</f>
        <v>0</v>
      </c>
      <c r="FU761" s="1464"/>
      <c r="FV761" s="1464"/>
      <c r="FW761" s="1464"/>
      <c r="FX761" s="1464"/>
      <c r="FY761" s="1464">
        <f>SUM(FY726:GC760)</f>
        <v>0</v>
      </c>
      <c r="FZ761" s="1464"/>
      <c r="GA761" s="1464"/>
      <c r="GB761" s="1464"/>
      <c r="GC761" s="1464"/>
    </row>
    <row r="762" spans="1:185" s="3" customFormat="1" ht="12.95" customHeight="1">
      <c r="A762"/>
      <c r="B762" s="1671" t="s">
        <v>1865</v>
      </c>
      <c r="C762" s="1671"/>
      <c r="D762" s="1671"/>
      <c r="E762" s="1671"/>
      <c r="F762" s="1671"/>
      <c r="G762" s="1671"/>
      <c r="H762" s="1671"/>
      <c r="I762" s="1671"/>
      <c r="J762" s="1671"/>
      <c r="K762" s="1671"/>
      <c r="L762" s="1671"/>
      <c r="M762" s="1671"/>
      <c r="N762" s="1671"/>
      <c r="O762" s="1671"/>
      <c r="P762" s="1671"/>
      <c r="Q762" s="1671"/>
      <c r="R762" s="1671"/>
      <c r="S762" s="1671"/>
      <c r="T762" s="1671"/>
      <c r="U762" s="1671"/>
      <c r="V762" s="1671"/>
      <c r="W762" s="1671"/>
      <c r="X762" s="1671"/>
      <c r="Y762" s="1671"/>
      <c r="Z762" s="1671"/>
      <c r="AA762" s="1671"/>
      <c r="AB762" s="1671"/>
      <c r="AC762" s="1671"/>
      <c r="AD762" s="1671"/>
      <c r="AE762" s="1671"/>
      <c r="AF762" s="1671"/>
      <c r="AG762" s="1671"/>
      <c r="AH762" s="1671"/>
      <c r="AI762"/>
      <c r="AJ762"/>
      <c r="AK762"/>
      <c r="AT762"/>
      <c r="AU762"/>
      <c r="AV762"/>
      <c r="AW762"/>
      <c r="AX762"/>
      <c r="AY762"/>
      <c r="CD762"/>
      <c r="DN762" s="56" t="s">
        <v>1833</v>
      </c>
      <c r="DO762" s="1468">
        <f>CP761+CU761+CZ761+DE761+DJ761+DO761</f>
        <v>203</v>
      </c>
      <c r="DP762" s="1469"/>
      <c r="DQ762" s="1469"/>
      <c r="DR762" s="1469"/>
      <c r="DS762" s="1470"/>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71"/>
      <c r="C763" s="1671"/>
      <c r="D763" s="1671"/>
      <c r="E763" s="1671"/>
      <c r="F763" s="1671"/>
      <c r="G763" s="1671"/>
      <c r="H763" s="1671"/>
      <c r="I763" s="1671"/>
      <c r="J763" s="1671"/>
      <c r="K763" s="1671"/>
      <c r="L763" s="1671"/>
      <c r="M763" s="1671"/>
      <c r="N763" s="1671"/>
      <c r="O763" s="1671"/>
      <c r="P763" s="1671"/>
      <c r="Q763" s="1671"/>
      <c r="R763" s="1671"/>
      <c r="S763" s="1671"/>
      <c r="T763" s="1671"/>
      <c r="U763" s="1671"/>
      <c r="V763" s="1671"/>
      <c r="W763" s="1671"/>
      <c r="X763" s="1671"/>
      <c r="Y763" s="1671"/>
      <c r="Z763" s="1671"/>
      <c r="AA763" s="1671"/>
      <c r="AB763" s="1671"/>
      <c r="AC763" s="1671"/>
      <c r="AD763" s="1671"/>
      <c r="AE763" s="1671"/>
      <c r="AF763" s="1671"/>
      <c r="AG763" s="1671"/>
      <c r="AH763" s="1671"/>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4</v>
      </c>
      <c r="CU763" s="3"/>
      <c r="CV763" s="3"/>
      <c r="CW763" s="3"/>
      <c r="CX763" s="3"/>
      <c r="CY763" s="857">
        <f>CU761*1</f>
        <v>79</v>
      </c>
      <c r="CZ763" s="3"/>
      <c r="DA763" s="3"/>
      <c r="DB763" s="3"/>
      <c r="DC763" s="3"/>
      <c r="DD763" s="857">
        <f>CZ761*2</f>
        <v>240</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323</v>
      </c>
      <c r="DV763" s="57" t="s">
        <v>1835</v>
      </c>
      <c r="DW763" s="3"/>
      <c r="DX763" s="3"/>
      <c r="DY763" s="3"/>
      <c r="DZ763" s="3"/>
      <c r="EA763" s="3"/>
      <c r="EB763" s="3"/>
      <c r="EC763" s="3"/>
      <c r="ED763" s="3"/>
      <c r="EE763" s="3"/>
      <c r="EF763" s="3"/>
      <c r="EG763" s="3"/>
      <c r="EH763" s="3"/>
    </row>
    <row r="764" spans="1:185" ht="12.95" customHeight="1">
      <c r="A764" s="3"/>
      <c r="B764" s="3"/>
      <c r="C764" s="118" t="s">
        <v>1863</v>
      </c>
      <c r="D764" s="1027"/>
      <c r="E764" s="1027"/>
      <c r="F764" s="1027"/>
      <c r="G764" s="1028"/>
      <c r="H764" s="1028"/>
      <c r="I764" s="1028"/>
      <c r="J764" s="1028"/>
      <c r="K764" s="1027"/>
      <c r="L764" s="1027"/>
      <c r="M764" s="1027"/>
      <c r="N764" s="1027"/>
      <c r="O764" s="1464">
        <f>DU763</f>
        <v>323</v>
      </c>
      <c r="P764" s="1464"/>
      <c r="Q764" s="1464"/>
      <c r="R764" s="1464"/>
      <c r="S764" s="965"/>
      <c r="T764" s="965"/>
      <c r="U764" s="118" t="s">
        <v>1864</v>
      </c>
      <c r="V764" s="1027"/>
      <c r="W764" s="1027"/>
      <c r="X764" s="1027"/>
      <c r="Y764" s="1028"/>
      <c r="Z764" s="1028"/>
      <c r="AA764" s="1028"/>
      <c r="AB764" s="1028"/>
      <c r="AC764" s="1027"/>
      <c r="AD764" s="1027"/>
      <c r="AE764" s="1027"/>
      <c r="AF764" s="1027"/>
      <c r="AG764" s="1669">
        <v>0</v>
      </c>
      <c r="AH764" s="1669"/>
      <c r="AI764" s="1669"/>
      <c r="AJ764" s="1669"/>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652" t="str">
        <f>IF(G761&lt;&gt;AG449,"! Total Low-Income Units in the Unit Mix Table above does not match the number of Total Low-Income Units on row #"&amp;TEXT(ROW(D449),"#"),"")</f>
        <v/>
      </c>
      <c r="D765" s="1652"/>
      <c r="E765" s="1652"/>
      <c r="F765" s="1652"/>
      <c r="G765" s="1652"/>
      <c r="H765" s="1652"/>
      <c r="I765" s="1652"/>
      <c r="J765" s="1652"/>
      <c r="K765" s="1652"/>
      <c r="L765" s="1652"/>
      <c r="M765" s="1652"/>
      <c r="N765" s="1652"/>
      <c r="O765" s="1652"/>
      <c r="P765" s="1652"/>
      <c r="Q765" s="1652"/>
      <c r="R765" s="1652"/>
      <c r="S765" s="1652"/>
      <c r="T765" s="1652"/>
      <c r="U765" s="1652"/>
      <c r="V765" s="1652"/>
      <c r="W765" s="1652"/>
      <c r="X765" s="1652"/>
      <c r="Y765" s="1652"/>
      <c r="Z765" s="1652"/>
      <c r="AA765" s="1652"/>
      <c r="AB765" s="1652"/>
      <c r="AC765" s="1652"/>
      <c r="AD765" s="1652"/>
      <c r="AE765" s="1652"/>
      <c r="AF765" s="1652"/>
      <c r="AG765" s="1652"/>
      <c r="AH765" s="1652"/>
      <c r="AI765" s="1652"/>
      <c r="AJ765" s="1652"/>
      <c r="AK765" s="1652"/>
      <c r="AL765" s="1652"/>
      <c r="AM765" s="1652"/>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652"/>
      <c r="D766" s="1652"/>
      <c r="E766" s="1652"/>
      <c r="F766" s="1652"/>
      <c r="G766" s="1652"/>
      <c r="H766" s="1652"/>
      <c r="I766" s="1652"/>
      <c r="J766" s="1652"/>
      <c r="K766" s="1652"/>
      <c r="L766" s="1652"/>
      <c r="M766" s="1652"/>
      <c r="N766" s="1652"/>
      <c r="O766" s="1652"/>
      <c r="P766" s="1652"/>
      <c r="Q766" s="1652"/>
      <c r="R766" s="1652"/>
      <c r="S766" s="1652"/>
      <c r="T766" s="1652"/>
      <c r="U766" s="1652"/>
      <c r="V766" s="1652"/>
      <c r="W766" s="1652"/>
      <c r="X766" s="1652"/>
      <c r="Y766" s="1652"/>
      <c r="Z766" s="1652"/>
      <c r="AA766" s="1652"/>
      <c r="AB766" s="1652"/>
      <c r="AC766" s="1652"/>
      <c r="AD766" s="1652"/>
      <c r="AE766" s="1652"/>
      <c r="AF766" s="1652"/>
      <c r="AG766" s="1652"/>
      <c r="AH766" s="1652"/>
      <c r="AI766" s="1652"/>
      <c r="AJ766" s="1652"/>
      <c r="AK766" s="1652"/>
      <c r="AL766" s="1652"/>
      <c r="AM766" s="1652"/>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57" t="s">
        <v>590</v>
      </c>
      <c r="AE767" s="1657"/>
      <c r="AF767" s="1657"/>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2042</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320" t="s">
        <v>2043</v>
      </c>
      <c r="D771" s="1320"/>
      <c r="E771" s="1320"/>
      <c r="F771" s="1320"/>
      <c r="G771" s="1320"/>
      <c r="H771" s="1320"/>
      <c r="I771" s="1320"/>
      <c r="J771" s="1320"/>
      <c r="K771" s="1320"/>
      <c r="L771" s="1320"/>
      <c r="M771" s="1320"/>
      <c r="N771" s="1320"/>
      <c r="O771" s="1320"/>
      <c r="P771" s="1320"/>
      <c r="Q771" s="1320"/>
      <c r="R771" s="1320"/>
      <c r="S771" s="1320"/>
      <c r="T771" s="1320"/>
      <c r="U771" s="1320"/>
      <c r="V771" s="1320"/>
      <c r="W771" s="1320"/>
      <c r="X771" s="1320"/>
      <c r="Y771" s="1320"/>
      <c r="Z771" s="1320"/>
      <c r="AA771" s="1320"/>
      <c r="AB771" s="1320"/>
      <c r="AC771" s="1320"/>
      <c r="AD771" s="1320"/>
      <c r="AE771" s="1320"/>
      <c r="AF771" s="1320"/>
      <c r="AG771" s="1320"/>
      <c r="AH771" s="1320"/>
      <c r="AI771" s="1320"/>
      <c r="AJ771" s="1320"/>
      <c r="AK771" s="1320"/>
      <c r="AL771" s="1320"/>
      <c r="AM771" s="1320"/>
      <c r="AN771" s="1320"/>
      <c r="AO771" s="1320"/>
      <c r="AP771" s="1320"/>
      <c r="AQ771" s="1320"/>
      <c r="AR771" s="1320"/>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320"/>
      <c r="D772" s="1320"/>
      <c r="E772" s="1320"/>
      <c r="F772" s="1320"/>
      <c r="G772" s="1320"/>
      <c r="H772" s="1320"/>
      <c r="I772" s="1320"/>
      <c r="J772" s="1320"/>
      <c r="K772" s="1320"/>
      <c r="L772" s="1320"/>
      <c r="M772" s="1320"/>
      <c r="N772" s="1320"/>
      <c r="O772" s="1320"/>
      <c r="P772" s="1320"/>
      <c r="Q772" s="1320"/>
      <c r="R772" s="1320"/>
      <c r="S772" s="1320"/>
      <c r="T772" s="1320"/>
      <c r="U772" s="1320"/>
      <c r="V772" s="1320"/>
      <c r="W772" s="1320"/>
      <c r="X772" s="1320"/>
      <c r="Y772" s="1320"/>
      <c r="Z772" s="1320"/>
      <c r="AA772" s="1320"/>
      <c r="AB772" s="1320"/>
      <c r="AC772" s="1320"/>
      <c r="AD772" s="1320"/>
      <c r="AE772" s="1320"/>
      <c r="AF772" s="1320"/>
      <c r="AG772" s="1320"/>
      <c r="AH772" s="1320"/>
      <c r="AI772" s="1320"/>
      <c r="AJ772" s="1320"/>
      <c r="AK772" s="1320"/>
      <c r="AL772" s="1320"/>
      <c r="AM772" s="1320"/>
      <c r="AN772" s="1320"/>
      <c r="AO772" s="1320"/>
      <c r="AP772" s="1320"/>
      <c r="AQ772" s="1320"/>
      <c r="AR772" s="1320"/>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320"/>
      <c r="D773" s="1320"/>
      <c r="E773" s="1320"/>
      <c r="F773" s="1320"/>
      <c r="G773" s="1320"/>
      <c r="H773" s="1320"/>
      <c r="I773" s="1320"/>
      <c r="J773" s="1320"/>
      <c r="K773" s="1320"/>
      <c r="L773" s="1320"/>
      <c r="M773" s="1320"/>
      <c r="N773" s="1320"/>
      <c r="O773" s="1320"/>
      <c r="P773" s="1320"/>
      <c r="Q773" s="1320"/>
      <c r="R773" s="1320"/>
      <c r="S773" s="1320"/>
      <c r="T773" s="1320"/>
      <c r="U773" s="1320"/>
      <c r="V773" s="1320"/>
      <c r="W773" s="1320"/>
      <c r="X773" s="1320"/>
      <c r="Y773" s="1320"/>
      <c r="Z773" s="1320"/>
      <c r="AA773" s="1320"/>
      <c r="AB773" s="1320"/>
      <c r="AC773" s="1320"/>
      <c r="AD773" s="1320"/>
      <c r="AE773" s="1320"/>
      <c r="AF773" s="1320"/>
      <c r="AG773" s="1320"/>
      <c r="AH773" s="1320"/>
      <c r="AI773" s="1320"/>
      <c r="AJ773" s="1320"/>
      <c r="AK773" s="1320"/>
      <c r="AL773" s="1320"/>
      <c r="AM773" s="1320"/>
      <c r="AN773" s="1320"/>
      <c r="AO773" s="1320"/>
      <c r="AP773" s="1320"/>
      <c r="AQ773" s="1320"/>
      <c r="AR773" s="1320"/>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320" t="s">
        <v>2044</v>
      </c>
      <c r="D774" s="1320"/>
      <c r="E774" s="1320"/>
      <c r="F774" s="1320"/>
      <c r="G774" s="1320"/>
      <c r="H774" s="1320"/>
      <c r="I774" s="1320"/>
      <c r="J774" s="1320"/>
      <c r="K774" s="1320"/>
      <c r="L774" s="1320"/>
      <c r="M774" s="1320"/>
      <c r="N774" s="1320"/>
      <c r="O774" s="1320"/>
      <c r="P774" s="1320"/>
      <c r="Q774" s="1320"/>
      <c r="R774" s="1320"/>
      <c r="S774" s="1320"/>
      <c r="T774" s="1320"/>
      <c r="U774" s="1320"/>
      <c r="V774" s="1320"/>
      <c r="W774" s="1320"/>
      <c r="X774" s="1320"/>
      <c r="Y774" s="1320"/>
      <c r="Z774" s="1320"/>
      <c r="AA774" s="1320"/>
      <c r="AB774" s="1320"/>
      <c r="AC774" s="1320"/>
      <c r="AD774" s="1320"/>
      <c r="AE774" s="1320"/>
      <c r="AF774" s="1320"/>
      <c r="AG774" s="1320"/>
      <c r="AH774" s="1320"/>
      <c r="AI774" s="1320"/>
      <c r="AJ774" s="1320"/>
      <c r="AK774" s="1320"/>
      <c r="AL774" s="1320"/>
      <c r="AM774" s="1320"/>
      <c r="AN774" s="1320"/>
      <c r="AO774" s="1320"/>
      <c r="AP774" s="1320"/>
      <c r="AQ774" s="1320"/>
      <c r="AR774" s="1320"/>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320"/>
      <c r="D775" s="1320"/>
      <c r="E775" s="1320"/>
      <c r="F775" s="1320"/>
      <c r="G775" s="1320"/>
      <c r="H775" s="1320"/>
      <c r="I775" s="1320"/>
      <c r="J775" s="1320"/>
      <c r="K775" s="1320"/>
      <c r="L775" s="1320"/>
      <c r="M775" s="1320"/>
      <c r="N775" s="1320"/>
      <c r="O775" s="1320"/>
      <c r="P775" s="1320"/>
      <c r="Q775" s="1320"/>
      <c r="R775" s="1320"/>
      <c r="S775" s="1320"/>
      <c r="T775" s="1320"/>
      <c r="U775" s="1320"/>
      <c r="V775" s="1320"/>
      <c r="W775" s="1320"/>
      <c r="X775" s="1320"/>
      <c r="Y775" s="1320"/>
      <c r="Z775" s="1320"/>
      <c r="AA775" s="1320"/>
      <c r="AB775" s="1320"/>
      <c r="AC775" s="1320"/>
      <c r="AD775" s="1320"/>
      <c r="AE775" s="1320"/>
      <c r="AF775" s="1320"/>
      <c r="AG775" s="1320"/>
      <c r="AH775" s="1320"/>
      <c r="AI775" s="1320"/>
      <c r="AJ775" s="1320"/>
      <c r="AK775" s="1320"/>
      <c r="AL775" s="1320"/>
      <c r="AM775" s="1320"/>
      <c r="AN775" s="1320"/>
      <c r="AO775" s="1320"/>
      <c r="AP775" s="1320"/>
      <c r="AQ775" s="1320"/>
      <c r="AR775" s="1320"/>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320"/>
      <c r="D776" s="1320"/>
      <c r="E776" s="1320"/>
      <c r="F776" s="1320"/>
      <c r="G776" s="1320"/>
      <c r="H776" s="1320"/>
      <c r="I776" s="1320"/>
      <c r="J776" s="1320"/>
      <c r="K776" s="1320"/>
      <c r="L776" s="1320"/>
      <c r="M776" s="1320"/>
      <c r="N776" s="1320"/>
      <c r="O776" s="1320"/>
      <c r="P776" s="1320"/>
      <c r="Q776" s="1320"/>
      <c r="R776" s="1320"/>
      <c r="S776" s="1320"/>
      <c r="T776" s="1320"/>
      <c r="U776" s="1320"/>
      <c r="V776" s="1320"/>
      <c r="W776" s="1320"/>
      <c r="X776" s="1320"/>
      <c r="Y776" s="1320"/>
      <c r="Z776" s="1320"/>
      <c r="AA776" s="1320"/>
      <c r="AB776" s="1320"/>
      <c r="AC776" s="1320"/>
      <c r="AD776" s="1320"/>
      <c r="AE776" s="1320"/>
      <c r="AF776" s="1320"/>
      <c r="AG776" s="1320"/>
      <c r="AH776" s="1320"/>
      <c r="AI776" s="1320"/>
      <c r="AJ776" s="1320"/>
      <c r="AK776" s="1320"/>
      <c r="AL776" s="1320"/>
      <c r="AM776" s="1320"/>
      <c r="AN776" s="1320"/>
      <c r="AO776" s="1320"/>
      <c r="AP776" s="1320"/>
      <c r="AQ776" s="1320"/>
      <c r="AR776" s="1320"/>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610" t="s">
        <v>389</v>
      </c>
      <c r="K777" s="1601"/>
      <c r="L777" s="1601"/>
      <c r="M777" s="1601"/>
      <c r="N777" s="1602"/>
      <c r="O777" s="1328" t="s">
        <v>285</v>
      </c>
      <c r="P777" s="1328"/>
      <c r="Q777" s="1328"/>
      <c r="R777" s="1328"/>
      <c r="S777" s="1328"/>
      <c r="T777" s="1659" t="s">
        <v>1667</v>
      </c>
      <c r="U777" s="1660"/>
      <c r="V777" s="1660"/>
      <c r="W777" s="1661"/>
      <c r="X777" s="1610" t="s">
        <v>446</v>
      </c>
      <c r="Y777" s="1601"/>
      <c r="Z777" s="1601"/>
      <c r="AA777" s="1601"/>
      <c r="AB777" s="1602"/>
      <c r="AC777" s="1610" t="s">
        <v>286</v>
      </c>
      <c r="AD777" s="1601"/>
      <c r="AE777" s="1601"/>
      <c r="AF777" s="1601"/>
      <c r="AG777" s="1602"/>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603"/>
      <c r="K778" s="1604"/>
      <c r="L778" s="1604"/>
      <c r="M778" s="1604"/>
      <c r="N778" s="1605"/>
      <c r="O778" s="1328"/>
      <c r="P778" s="1328"/>
      <c r="Q778" s="1328"/>
      <c r="R778" s="1328"/>
      <c r="S778" s="1328"/>
      <c r="T778" s="1662"/>
      <c r="U778" s="1663"/>
      <c r="V778" s="1663"/>
      <c r="W778" s="1664"/>
      <c r="X778" s="1603"/>
      <c r="Y778" s="1604"/>
      <c r="Z778" s="1604"/>
      <c r="AA778" s="1604"/>
      <c r="AB778" s="1605"/>
      <c r="AC778" s="1603"/>
      <c r="AD778" s="1604"/>
      <c r="AE778" s="1604"/>
      <c r="AF778" s="1604"/>
      <c r="AG778" s="1605"/>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603"/>
      <c r="K779" s="1604"/>
      <c r="L779" s="1604"/>
      <c r="M779" s="1604"/>
      <c r="N779" s="1605"/>
      <c r="O779" s="1328"/>
      <c r="P779" s="1328"/>
      <c r="Q779" s="1328"/>
      <c r="R779" s="1328"/>
      <c r="S779" s="1328"/>
      <c r="T779" s="1662"/>
      <c r="U779" s="1663"/>
      <c r="V779" s="1663"/>
      <c r="W779" s="1664"/>
      <c r="X779" s="1603"/>
      <c r="Y779" s="1604"/>
      <c r="Z779" s="1604"/>
      <c r="AA779" s="1604"/>
      <c r="AB779" s="1605"/>
      <c r="AC779" s="1603"/>
      <c r="AD779" s="1604"/>
      <c r="AE779" s="1604"/>
      <c r="AF779" s="1604"/>
      <c r="AG779" s="1605"/>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606"/>
      <c r="K780" s="1607"/>
      <c r="L780" s="1607"/>
      <c r="M780" s="1607"/>
      <c r="N780" s="1608"/>
      <c r="O780" s="1328"/>
      <c r="P780" s="1328"/>
      <c r="Q780" s="1328"/>
      <c r="R780" s="1328"/>
      <c r="S780" s="1328"/>
      <c r="T780" s="1665"/>
      <c r="U780" s="1666"/>
      <c r="V780" s="1666"/>
      <c r="W780" s="1667"/>
      <c r="X780" s="1606"/>
      <c r="Y780" s="1607"/>
      <c r="Z780" s="1607"/>
      <c r="AA780" s="1607"/>
      <c r="AB780" s="1608"/>
      <c r="AC780" s="1606"/>
      <c r="AD780" s="1607"/>
      <c r="AE780" s="1607"/>
      <c r="AF780" s="1607"/>
      <c r="AG780" s="1608"/>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14" t="s">
        <v>163</v>
      </c>
      <c r="K781" s="1315"/>
      <c r="L781" s="1315"/>
      <c r="M781" s="1315"/>
      <c r="N781" s="1316"/>
      <c r="O781" s="1327">
        <v>1</v>
      </c>
      <c r="P781" s="1327"/>
      <c r="Q781" s="1327"/>
      <c r="R781" s="1327"/>
      <c r="S781" s="1327"/>
      <c r="T781" s="1342">
        <v>646</v>
      </c>
      <c r="U781" s="1343"/>
      <c r="V781" s="1343"/>
      <c r="W781" s="1344"/>
      <c r="X781" s="1373">
        <v>0</v>
      </c>
      <c r="Y781" s="1374"/>
      <c r="Z781" s="1374"/>
      <c r="AA781" s="1374"/>
      <c r="AB781" s="1375"/>
      <c r="AC781" s="1370">
        <f>X781*O781</f>
        <v>0</v>
      </c>
      <c r="AD781" s="1371"/>
      <c r="AE781" s="1371"/>
      <c r="AF781" s="1371"/>
      <c r="AG781" s="1372"/>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59">
        <f>IF(J781="SRO/Studio",O781,0)</f>
        <v>0</v>
      </c>
      <c r="CQ781" s="1460"/>
      <c r="CR781" s="1460"/>
      <c r="CS781" s="1460"/>
      <c r="CT781" s="1461"/>
      <c r="CU781" s="1462">
        <f>IF(J781="1 Bedroom",O781,0)</f>
        <v>0</v>
      </c>
      <c r="CV781" s="1462"/>
      <c r="CW781" s="1462"/>
      <c r="CX781" s="1462"/>
      <c r="CY781" s="1462"/>
      <c r="CZ781" s="1462">
        <f>IF(J781="2 Bedrooms",O781,0)</f>
        <v>1</v>
      </c>
      <c r="DA781" s="1462"/>
      <c r="DB781" s="1462"/>
      <c r="DC781" s="1462"/>
      <c r="DD781" s="1462"/>
      <c r="DE781" s="1462">
        <f>IF(J781="3 Bedrooms",O781,0)</f>
        <v>0</v>
      </c>
      <c r="DF781" s="1462"/>
      <c r="DG781" s="1462"/>
      <c r="DH781" s="1462"/>
      <c r="DI781" s="1462"/>
      <c r="DJ781" s="1462">
        <f>IF(J781="4 Bedrooms",O781,0)</f>
        <v>0</v>
      </c>
      <c r="DK781" s="1462"/>
      <c r="DL781" s="1462"/>
      <c r="DM781" s="1462"/>
      <c r="DN781" s="1462"/>
      <c r="DO781" s="1462">
        <f>IF(J781="5 Bedrooms",O781,0)</f>
        <v>0</v>
      </c>
      <c r="DP781" s="1462"/>
      <c r="DQ781" s="1462"/>
      <c r="DR781" s="1462"/>
      <c r="DS781" s="1462"/>
      <c r="DT781" s="6"/>
      <c r="DU781" s="3"/>
      <c r="DV781" s="3"/>
    </row>
    <row r="782" spans="1:159" ht="12.95" customHeight="1">
      <c r="J782" s="1314" t="s">
        <v>163</v>
      </c>
      <c r="K782" s="1315"/>
      <c r="L782" s="1315"/>
      <c r="M782" s="1315"/>
      <c r="N782" s="1316"/>
      <c r="O782" s="1327">
        <v>1</v>
      </c>
      <c r="P782" s="1327"/>
      <c r="Q782" s="1327"/>
      <c r="R782" s="1327"/>
      <c r="S782" s="1327"/>
      <c r="T782" s="1342">
        <v>646</v>
      </c>
      <c r="U782" s="1343"/>
      <c r="V782" s="1343"/>
      <c r="W782" s="1344"/>
      <c r="X782" s="1373">
        <v>1500</v>
      </c>
      <c r="Y782" s="1374"/>
      <c r="Z782" s="1374"/>
      <c r="AA782" s="1374"/>
      <c r="AB782" s="1375"/>
      <c r="AC782" s="1370">
        <f>X782*O782</f>
        <v>1500</v>
      </c>
      <c r="AD782" s="1371"/>
      <c r="AE782" s="1371"/>
      <c r="AF782" s="1371"/>
      <c r="AG782" s="1372"/>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59">
        <f>IF(J782="SRO/Studio",O782,0)</f>
        <v>0</v>
      </c>
      <c r="CQ782" s="1460"/>
      <c r="CR782" s="1460"/>
      <c r="CS782" s="1460"/>
      <c r="CT782" s="1461"/>
      <c r="CU782" s="1462">
        <f>IF(J782="1 Bedroom",O782,0)</f>
        <v>0</v>
      </c>
      <c r="CV782" s="1462"/>
      <c r="CW782" s="1462"/>
      <c r="CX782" s="1462"/>
      <c r="CY782" s="1462"/>
      <c r="CZ782" s="1462">
        <f>IF(J782="2 Bedrooms",O782,0)</f>
        <v>1</v>
      </c>
      <c r="DA782" s="1462"/>
      <c r="DB782" s="1462"/>
      <c r="DC782" s="1462"/>
      <c r="DD782" s="1462"/>
      <c r="DE782" s="1462">
        <f>IF(J782="3 Bedrooms",O782,0)</f>
        <v>0</v>
      </c>
      <c r="DF782" s="1462"/>
      <c r="DG782" s="1462"/>
      <c r="DH782" s="1462"/>
      <c r="DI782" s="1462"/>
      <c r="DJ782" s="1462">
        <f>IF(J782="4 Bedrooms",O782,0)</f>
        <v>0</v>
      </c>
      <c r="DK782" s="1462"/>
      <c r="DL782" s="1462"/>
      <c r="DM782" s="1462"/>
      <c r="DN782" s="1462"/>
      <c r="DO782" s="1462">
        <f>IF(J782="5 Bedrooms",O782,0)</f>
        <v>0</v>
      </c>
      <c r="DP782" s="1462"/>
      <c r="DQ782" s="1462"/>
      <c r="DR782" s="1462"/>
      <c r="DS782" s="1462"/>
      <c r="DT782" s="6"/>
      <c r="DU782" s="3"/>
      <c r="DV782" s="3"/>
    </row>
    <row r="783" spans="1:159" ht="12.95" customHeight="1">
      <c r="J783" s="1314"/>
      <c r="K783" s="1315"/>
      <c r="L783" s="1315"/>
      <c r="M783" s="1315"/>
      <c r="N783" s="1316"/>
      <c r="O783" s="1327"/>
      <c r="P783" s="1327"/>
      <c r="Q783" s="1327"/>
      <c r="R783" s="1327"/>
      <c r="S783" s="1327"/>
      <c r="T783" s="1342"/>
      <c r="U783" s="1343"/>
      <c r="V783" s="1343"/>
      <c r="W783" s="1344"/>
      <c r="X783" s="1373"/>
      <c r="Y783" s="1374"/>
      <c r="Z783" s="1374"/>
      <c r="AA783" s="1374"/>
      <c r="AB783" s="1375"/>
      <c r="AC783" s="1370">
        <f>X783*O783</f>
        <v>0</v>
      </c>
      <c r="AD783" s="1371"/>
      <c r="AE783" s="1371"/>
      <c r="AF783" s="1371"/>
      <c r="AG783" s="1372"/>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59">
        <f>IF(J783="SRO/Studio",O783,0)</f>
        <v>0</v>
      </c>
      <c r="CQ783" s="1460"/>
      <c r="CR783" s="1460"/>
      <c r="CS783" s="1460"/>
      <c r="CT783" s="1461"/>
      <c r="CU783" s="1462">
        <f>IF(J783="1 Bedroom",O783,0)</f>
        <v>0</v>
      </c>
      <c r="CV783" s="1462"/>
      <c r="CW783" s="1462"/>
      <c r="CX783" s="1462"/>
      <c r="CY783" s="1462"/>
      <c r="CZ783" s="1462">
        <f>IF(J783="2 Bedrooms",O783,0)</f>
        <v>0</v>
      </c>
      <c r="DA783" s="1462"/>
      <c r="DB783" s="1462"/>
      <c r="DC783" s="1462"/>
      <c r="DD783" s="1462"/>
      <c r="DE783" s="1462">
        <f>IF(J783="3 Bedrooms",O783,0)</f>
        <v>0</v>
      </c>
      <c r="DF783" s="1462"/>
      <c r="DG783" s="1462"/>
      <c r="DH783" s="1462"/>
      <c r="DI783" s="1462"/>
      <c r="DJ783" s="1462">
        <f>IF(J783="4 Bedrooms",O783,0)</f>
        <v>0</v>
      </c>
      <c r="DK783" s="1462"/>
      <c r="DL783" s="1462"/>
      <c r="DM783" s="1462"/>
      <c r="DN783" s="1462"/>
      <c r="DO783" s="1462">
        <f>IF(J783="5 Bedrooms",O783,0)</f>
        <v>0</v>
      </c>
      <c r="DP783" s="1462"/>
      <c r="DQ783" s="1462"/>
      <c r="DR783" s="1462"/>
      <c r="DS783" s="1462"/>
      <c r="DT783" s="1007"/>
    </row>
    <row r="784" spans="1:159" ht="12.95" customHeight="1">
      <c r="J784" s="1314"/>
      <c r="K784" s="1315"/>
      <c r="L784" s="1315"/>
      <c r="M784" s="1315"/>
      <c r="N784" s="1316"/>
      <c r="O784" s="1327"/>
      <c r="P784" s="1327"/>
      <c r="Q784" s="1327"/>
      <c r="R784" s="1327"/>
      <c r="S784" s="1327"/>
      <c r="T784" s="1342"/>
      <c r="U784" s="1343"/>
      <c r="V784" s="1343"/>
      <c r="W784" s="1344"/>
      <c r="X784" s="1373"/>
      <c r="Y784" s="1374"/>
      <c r="Z784" s="1374"/>
      <c r="AA784" s="1374"/>
      <c r="AB784" s="1375"/>
      <c r="AC784" s="1370">
        <f>X784*O784</f>
        <v>0</v>
      </c>
      <c r="AD784" s="1371"/>
      <c r="AE784" s="1371"/>
      <c r="AF784" s="1371"/>
      <c r="AG784" s="1372"/>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59">
        <f>IF(J784="SRO/Studio",O784,0)</f>
        <v>0</v>
      </c>
      <c r="CQ784" s="1460"/>
      <c r="CR784" s="1460"/>
      <c r="CS784" s="1460"/>
      <c r="CT784" s="1461"/>
      <c r="CU784" s="1462">
        <f>IF(J784="1 Bedroom",O784,0)</f>
        <v>0</v>
      </c>
      <c r="CV784" s="1462"/>
      <c r="CW784" s="1462"/>
      <c r="CX784" s="1462"/>
      <c r="CY784" s="1462"/>
      <c r="CZ784" s="1462">
        <f>IF(J784="2 Bedrooms",O784,0)</f>
        <v>0</v>
      </c>
      <c r="DA784" s="1462"/>
      <c r="DB784" s="1462"/>
      <c r="DC784" s="1462"/>
      <c r="DD784" s="1462"/>
      <c r="DE784" s="1462">
        <f>IF(J784="3 Bedrooms",O784,0)</f>
        <v>0</v>
      </c>
      <c r="DF784" s="1462"/>
      <c r="DG784" s="1462"/>
      <c r="DH784" s="1462"/>
      <c r="DI784" s="1462"/>
      <c r="DJ784" s="1462">
        <f>IF(J784="4 Bedrooms",O784,0)</f>
        <v>0</v>
      </c>
      <c r="DK784" s="1462"/>
      <c r="DL784" s="1462"/>
      <c r="DM784" s="1462"/>
      <c r="DN784" s="1462"/>
      <c r="DO784" s="1462">
        <f>IF(J784="5 Bedrooms",O784,0)</f>
        <v>0</v>
      </c>
      <c r="DP784" s="1462"/>
      <c r="DQ784" s="1462"/>
      <c r="DR784" s="1462"/>
      <c r="DS784" s="1462"/>
    </row>
    <row r="785" spans="1:154" ht="12.95" customHeight="1">
      <c r="J785" s="1388" t="s">
        <v>125</v>
      </c>
      <c r="K785" s="1389"/>
      <c r="L785" s="1389"/>
      <c r="M785" s="1389"/>
      <c r="N785" s="1390"/>
      <c r="O785" s="1456">
        <f>SUM(O781:S784)</f>
        <v>2</v>
      </c>
      <c r="P785" s="1457"/>
      <c r="Q785" s="1457"/>
      <c r="R785" s="1457"/>
      <c r="S785" s="1458"/>
      <c r="X785" s="1388" t="s">
        <v>124</v>
      </c>
      <c r="Y785" s="1389"/>
      <c r="Z785" s="1389"/>
      <c r="AA785" s="1389"/>
      <c r="AB785" s="1390"/>
      <c r="AC785" s="1370">
        <f>SUM(AC781:AG784)</f>
        <v>1500</v>
      </c>
      <c r="AD785" s="1371"/>
      <c r="AE785" s="1371"/>
      <c r="AF785" s="1371"/>
      <c r="AG785" s="1372"/>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56">
        <f>SUM(CP781:CT784)</f>
        <v>0</v>
      </c>
      <c r="CQ785" s="1457"/>
      <c r="CR785" s="1457"/>
      <c r="CS785" s="1457"/>
      <c r="CT785" s="1458"/>
      <c r="CU785" s="1611">
        <f>SUM(CU781:CY784)</f>
        <v>0</v>
      </c>
      <c r="CV785" s="1612"/>
      <c r="CW785" s="1612"/>
      <c r="CX785" s="1612"/>
      <c r="CY785" s="1613"/>
      <c r="CZ785" s="1611">
        <f>SUM(CZ781:DD784)</f>
        <v>2</v>
      </c>
      <c r="DA785" s="1612"/>
      <c r="DB785" s="1612"/>
      <c r="DC785" s="1612"/>
      <c r="DD785" s="1613"/>
      <c r="DE785" s="1611">
        <f>SUM(DE781:DI784)</f>
        <v>0</v>
      </c>
      <c r="DF785" s="1612"/>
      <c r="DG785" s="1612"/>
      <c r="DH785" s="1612"/>
      <c r="DI785" s="1613"/>
      <c r="DJ785" s="1611">
        <f>SUM(DJ781:DN784)</f>
        <v>0</v>
      </c>
      <c r="DK785" s="1612"/>
      <c r="DL785" s="1612"/>
      <c r="DM785" s="1612"/>
      <c r="DN785" s="1613"/>
      <c r="DO785" s="1611">
        <f>SUM(DO781:DS784)</f>
        <v>0</v>
      </c>
      <c r="DP785" s="1612"/>
      <c r="DQ785" s="1612"/>
      <c r="DR785" s="1612"/>
      <c r="DS785" s="1613"/>
      <c r="DU785" s="857">
        <f>CP785+CU785+CZ785+DE785+DJ785+DO785</f>
        <v>2</v>
      </c>
      <c r="DV785" s="57" t="s">
        <v>1832</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4</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4</v>
      </c>
      <c r="DV786" s="57" t="s">
        <v>1834</v>
      </c>
    </row>
    <row r="787" spans="1:154" ht="12.95" customHeight="1">
      <c r="B787" s="56"/>
      <c r="C787" s="56"/>
      <c r="D787" s="56"/>
      <c r="E787" s="56"/>
      <c r="F787" s="56"/>
      <c r="G787" s="6"/>
      <c r="H787" s="6"/>
      <c r="I787" s="6"/>
      <c r="J787" s="1446" t="s">
        <v>668</v>
      </c>
      <c r="K787" s="1446"/>
      <c r="L787" s="56"/>
      <c r="M787" s="35" t="s">
        <v>976</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2045</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610" t="s">
        <v>389</v>
      </c>
      <c r="K791" s="1601"/>
      <c r="L791" s="1601"/>
      <c r="M791" s="1601"/>
      <c r="N791" s="1602"/>
      <c r="O791" s="1328" t="s">
        <v>285</v>
      </c>
      <c r="P791" s="1328"/>
      <c r="Q791" s="1328"/>
      <c r="R791" s="1328"/>
      <c r="S791" s="1328"/>
      <c r="T791" s="1659" t="s">
        <v>1667</v>
      </c>
      <c r="U791" s="1660"/>
      <c r="V791" s="1660"/>
      <c r="W791" s="1661"/>
      <c r="X791" s="1610" t="s">
        <v>446</v>
      </c>
      <c r="Y791" s="1601"/>
      <c r="Z791" s="1601"/>
      <c r="AA791" s="1601"/>
      <c r="AB791" s="1602"/>
      <c r="AC791" s="1610" t="s">
        <v>286</v>
      </c>
      <c r="AD791" s="1601"/>
      <c r="AE791" s="1601"/>
      <c r="AF791" s="1601"/>
      <c r="AG791" s="1602"/>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603"/>
      <c r="K792" s="1604"/>
      <c r="L792" s="1604"/>
      <c r="M792" s="1604"/>
      <c r="N792" s="1605"/>
      <c r="O792" s="1328"/>
      <c r="P792" s="1328"/>
      <c r="Q792" s="1328"/>
      <c r="R792" s="1328"/>
      <c r="S792" s="1328"/>
      <c r="T792" s="1662"/>
      <c r="U792" s="1663"/>
      <c r="V792" s="1663"/>
      <c r="W792" s="1664"/>
      <c r="X792" s="1603"/>
      <c r="Y792" s="1604"/>
      <c r="Z792" s="1604"/>
      <c r="AA792" s="1604"/>
      <c r="AB792" s="1605"/>
      <c r="AC792" s="1603"/>
      <c r="AD792" s="1604"/>
      <c r="AE792" s="1604"/>
      <c r="AF792" s="1604"/>
      <c r="AG792" s="1605"/>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603"/>
      <c r="K793" s="1604"/>
      <c r="L793" s="1604"/>
      <c r="M793" s="1604"/>
      <c r="N793" s="1605"/>
      <c r="O793" s="1328"/>
      <c r="P793" s="1328"/>
      <c r="Q793" s="1328"/>
      <c r="R793" s="1328"/>
      <c r="S793" s="1328"/>
      <c r="T793" s="1662"/>
      <c r="U793" s="1663"/>
      <c r="V793" s="1663"/>
      <c r="W793" s="1664"/>
      <c r="X793" s="1603"/>
      <c r="Y793" s="1604"/>
      <c r="Z793" s="1604"/>
      <c r="AA793" s="1604"/>
      <c r="AB793" s="1605"/>
      <c r="AC793" s="1603"/>
      <c r="AD793" s="1604"/>
      <c r="AE793" s="1604"/>
      <c r="AF793" s="1604"/>
      <c r="AG793" s="1605"/>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606"/>
      <c r="K794" s="1607"/>
      <c r="L794" s="1607"/>
      <c r="M794" s="1607"/>
      <c r="N794" s="1608"/>
      <c r="O794" s="1328"/>
      <c r="P794" s="1328"/>
      <c r="Q794" s="1328"/>
      <c r="R794" s="1328"/>
      <c r="S794" s="1328"/>
      <c r="T794" s="1665"/>
      <c r="U794" s="1666"/>
      <c r="V794" s="1666"/>
      <c r="W794" s="1667"/>
      <c r="X794" s="1606"/>
      <c r="Y794" s="1607"/>
      <c r="Z794" s="1607"/>
      <c r="AA794" s="1607"/>
      <c r="AB794" s="1608"/>
      <c r="AC794" s="1606"/>
      <c r="AD794" s="1607"/>
      <c r="AE794" s="1607"/>
      <c r="AF794" s="1607"/>
      <c r="AG794" s="1608"/>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5" customHeight="1">
      <c r="J795" s="1314"/>
      <c r="K795" s="1315"/>
      <c r="L795" s="1315"/>
      <c r="M795" s="1315"/>
      <c r="N795" s="1316"/>
      <c r="O795" s="1327"/>
      <c r="P795" s="1327"/>
      <c r="Q795" s="1327"/>
      <c r="R795" s="1327"/>
      <c r="S795" s="1327"/>
      <c r="T795" s="1342"/>
      <c r="U795" s="1343"/>
      <c r="V795" s="1343"/>
      <c r="W795" s="1344"/>
      <c r="X795" s="1373"/>
      <c r="Y795" s="1374"/>
      <c r="Z795" s="1374"/>
      <c r="AA795" s="1374"/>
      <c r="AB795" s="1375"/>
      <c r="AC795" s="1370">
        <f t="shared" ref="AC795:AC804" si="66">X795*O795</f>
        <v>0</v>
      </c>
      <c r="AD795" s="1371"/>
      <c r="AE795" s="1371"/>
      <c r="AF795" s="1371"/>
      <c r="AG795" s="1372"/>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ref="CP795:CP804" si="67">IF(J795="SRO/Studio",O795,0)</f>
        <v>0</v>
      </c>
      <c r="CQ795" s="1460"/>
      <c r="CR795" s="1460"/>
      <c r="CS795" s="1460"/>
      <c r="CT795" s="1461"/>
      <c r="CU795" s="1459">
        <f t="shared" ref="CU795:CU804" si="68">IF(J795="1 Bedroom",O795,0)</f>
        <v>0</v>
      </c>
      <c r="CV795" s="1460"/>
      <c r="CW795" s="1460"/>
      <c r="CX795" s="1460"/>
      <c r="CY795" s="1461"/>
      <c r="CZ795" s="1459">
        <f t="shared" ref="CZ795:CZ804" si="69">IF(J795="2 Bedrooms",O795,0)</f>
        <v>0</v>
      </c>
      <c r="DA795" s="1460"/>
      <c r="DB795" s="1460"/>
      <c r="DC795" s="1460"/>
      <c r="DD795" s="1461"/>
      <c r="DE795" s="1459">
        <f t="shared" ref="DE795:DE804" si="70">IF(J795="3 Bedrooms",O795,0)</f>
        <v>0</v>
      </c>
      <c r="DF795" s="1460"/>
      <c r="DG795" s="1460"/>
      <c r="DH795" s="1460"/>
      <c r="DI795" s="1461"/>
      <c r="DJ795" s="1459">
        <f t="shared" ref="DJ795:DJ804" si="71">IF(J795="4 Bedrooms",O795,0)</f>
        <v>0</v>
      </c>
      <c r="DK795" s="1460"/>
      <c r="DL795" s="1460"/>
      <c r="DM795" s="1460"/>
      <c r="DN795" s="1461"/>
      <c r="DO795" s="1459">
        <f t="shared" ref="DO795:DO804" si="72">IF(J795="5 Bedrooms",O795,0)</f>
        <v>0</v>
      </c>
      <c r="DP795" s="1460"/>
      <c r="DQ795" s="1460"/>
      <c r="DR795" s="1460"/>
      <c r="DS795" s="1461"/>
      <c r="DT795" s="6"/>
      <c r="DU795" s="1459">
        <f t="shared" ref="DU795:DU804" si="73">IF(AND(CP795&gt;=1,AH795&gt;=0.1,AH795&lt;=1),O795,0)</f>
        <v>0</v>
      </c>
      <c r="DV795" s="1460"/>
      <c r="DW795" s="1460"/>
      <c r="DX795" s="1460"/>
      <c r="DY795" s="1461"/>
      <c r="DZ795" s="1459">
        <f t="shared" ref="DZ795:DZ804" si="74">IF(AND(CU795&gt;=1,AH795&gt;=0.1,AH795&lt;=1),O795,0)</f>
        <v>0</v>
      </c>
      <c r="EA795" s="1460"/>
      <c r="EB795" s="1460"/>
      <c r="EC795" s="1460"/>
      <c r="ED795" s="1461"/>
      <c r="EE795" s="1459">
        <f t="shared" ref="EE795:EE804" si="75">IF(AND(CZ795&gt;=1,AH795&gt;=0.1,AH795&lt;=1),O795,0)</f>
        <v>0</v>
      </c>
      <c r="EF795" s="1460"/>
      <c r="EG795" s="1460"/>
      <c r="EH795" s="1460"/>
      <c r="EI795" s="1461"/>
      <c r="EJ795" s="1459">
        <f t="shared" ref="EJ795:EJ804" si="76">IF(AND(DE795&gt;=1,AH795&gt;=0.1,AH795&lt;=1),O795,0)</f>
        <v>0</v>
      </c>
      <c r="EK795" s="1460"/>
      <c r="EL795" s="1460"/>
      <c r="EM795" s="1460"/>
      <c r="EN795" s="1461"/>
      <c r="EO795" s="1459">
        <f t="shared" ref="EO795:EO804" si="77">IF(AND(DJ795&gt;=1,AH795&gt;=0.1,AH795&lt;=1),O795,0)</f>
        <v>0</v>
      </c>
      <c r="EP795" s="1460"/>
      <c r="EQ795" s="1460"/>
      <c r="ER795" s="1460"/>
      <c r="ES795" s="1461"/>
      <c r="ET795" s="1459">
        <f t="shared" ref="ET795:ET804" si="78">IF(AND(DO795&gt;=1,AH795&gt;=0.1,AH795&lt;=1),O795,0)</f>
        <v>0</v>
      </c>
      <c r="EU795" s="1460"/>
      <c r="EV795" s="1460"/>
      <c r="EW795" s="1460"/>
      <c r="EX795" s="1461"/>
    </row>
    <row r="796" spans="1:154" s="14" customFormat="1" ht="12.95" customHeight="1">
      <c r="A796"/>
      <c r="B796"/>
      <c r="C796"/>
      <c r="D796"/>
      <c r="E796"/>
      <c r="F796"/>
      <c r="G796"/>
      <c r="H796"/>
      <c r="I796"/>
      <c r="J796" s="1314"/>
      <c r="K796" s="1315"/>
      <c r="L796" s="1315"/>
      <c r="M796" s="1315"/>
      <c r="N796" s="1316"/>
      <c r="O796" s="1327"/>
      <c r="P796" s="1327"/>
      <c r="Q796" s="1327"/>
      <c r="R796" s="1327"/>
      <c r="S796" s="1327"/>
      <c r="T796" s="1342"/>
      <c r="U796" s="1343"/>
      <c r="V796" s="1343"/>
      <c r="W796" s="1344"/>
      <c r="X796" s="1373"/>
      <c r="Y796" s="1374"/>
      <c r="Z796" s="1374"/>
      <c r="AA796" s="1374"/>
      <c r="AB796" s="1375"/>
      <c r="AC796" s="1370">
        <f t="shared" si="66"/>
        <v>0</v>
      </c>
      <c r="AD796" s="1371"/>
      <c r="AE796" s="1371"/>
      <c r="AF796" s="1371"/>
      <c r="AG796" s="1372"/>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59">
        <f t="shared" si="67"/>
        <v>0</v>
      </c>
      <c r="CQ796" s="1460"/>
      <c r="CR796" s="1460"/>
      <c r="CS796" s="1460"/>
      <c r="CT796" s="1461"/>
      <c r="CU796" s="1459">
        <f t="shared" si="68"/>
        <v>0</v>
      </c>
      <c r="CV796" s="1460"/>
      <c r="CW796" s="1460"/>
      <c r="CX796" s="1460"/>
      <c r="CY796" s="1461"/>
      <c r="CZ796" s="1459">
        <f t="shared" si="69"/>
        <v>0</v>
      </c>
      <c r="DA796" s="1460"/>
      <c r="DB796" s="1460"/>
      <c r="DC796" s="1460"/>
      <c r="DD796" s="1461"/>
      <c r="DE796" s="1459">
        <f t="shared" si="70"/>
        <v>0</v>
      </c>
      <c r="DF796" s="1460"/>
      <c r="DG796" s="1460"/>
      <c r="DH796" s="1460"/>
      <c r="DI796" s="1461"/>
      <c r="DJ796" s="1459">
        <f t="shared" si="71"/>
        <v>0</v>
      </c>
      <c r="DK796" s="1460"/>
      <c r="DL796" s="1460"/>
      <c r="DM796" s="1460"/>
      <c r="DN796" s="1461"/>
      <c r="DO796" s="1459">
        <f t="shared" si="72"/>
        <v>0</v>
      </c>
      <c r="DP796" s="1460"/>
      <c r="DQ796" s="1460"/>
      <c r="DR796" s="1460"/>
      <c r="DS796" s="1461"/>
      <c r="DT796" s="6"/>
      <c r="DU796" s="1459">
        <f t="shared" si="73"/>
        <v>0</v>
      </c>
      <c r="DV796" s="1460"/>
      <c r="DW796" s="1460"/>
      <c r="DX796" s="1460"/>
      <c r="DY796" s="1461"/>
      <c r="DZ796" s="1459">
        <f t="shared" si="74"/>
        <v>0</v>
      </c>
      <c r="EA796" s="1460"/>
      <c r="EB796" s="1460"/>
      <c r="EC796" s="1460"/>
      <c r="ED796" s="1461"/>
      <c r="EE796" s="1459">
        <f t="shared" si="75"/>
        <v>0</v>
      </c>
      <c r="EF796" s="1460"/>
      <c r="EG796" s="1460"/>
      <c r="EH796" s="1460"/>
      <c r="EI796" s="1461"/>
      <c r="EJ796" s="1459">
        <f t="shared" si="76"/>
        <v>0</v>
      </c>
      <c r="EK796" s="1460"/>
      <c r="EL796" s="1460"/>
      <c r="EM796" s="1460"/>
      <c r="EN796" s="1461"/>
      <c r="EO796" s="1459">
        <f t="shared" si="77"/>
        <v>0</v>
      </c>
      <c r="EP796" s="1460"/>
      <c r="EQ796" s="1460"/>
      <c r="ER796" s="1460"/>
      <c r="ES796" s="1461"/>
      <c r="ET796" s="1459">
        <f t="shared" si="78"/>
        <v>0</v>
      </c>
      <c r="EU796" s="1460"/>
      <c r="EV796" s="1460"/>
      <c r="EW796" s="1460"/>
      <c r="EX796" s="1461"/>
    </row>
    <row r="797" spans="1:154" s="14" customFormat="1" ht="12.95" customHeight="1">
      <c r="A797"/>
      <c r="B797"/>
      <c r="C797"/>
      <c r="D797"/>
      <c r="E797"/>
      <c r="F797"/>
      <c r="G797"/>
      <c r="H797"/>
      <c r="I797"/>
      <c r="J797" s="1314"/>
      <c r="K797" s="1315"/>
      <c r="L797" s="1315"/>
      <c r="M797" s="1315"/>
      <c r="N797" s="1316"/>
      <c r="O797" s="1327"/>
      <c r="P797" s="1327"/>
      <c r="Q797" s="1327"/>
      <c r="R797" s="1327"/>
      <c r="S797" s="1327"/>
      <c r="T797" s="1342"/>
      <c r="U797" s="1343"/>
      <c r="V797" s="1343"/>
      <c r="W797" s="1344"/>
      <c r="X797" s="1373"/>
      <c r="Y797" s="1374"/>
      <c r="Z797" s="1374"/>
      <c r="AA797" s="1374"/>
      <c r="AB797" s="1375"/>
      <c r="AC797" s="1370">
        <f t="shared" si="66"/>
        <v>0</v>
      </c>
      <c r="AD797" s="1371"/>
      <c r="AE797" s="1371"/>
      <c r="AF797" s="1371"/>
      <c r="AG797" s="1372"/>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59">
        <f t="shared" si="67"/>
        <v>0</v>
      </c>
      <c r="CQ797" s="1460"/>
      <c r="CR797" s="1460"/>
      <c r="CS797" s="1460"/>
      <c r="CT797" s="1461"/>
      <c r="CU797" s="1459">
        <f t="shared" si="68"/>
        <v>0</v>
      </c>
      <c r="CV797" s="1460"/>
      <c r="CW797" s="1460"/>
      <c r="CX797" s="1460"/>
      <c r="CY797" s="1461"/>
      <c r="CZ797" s="1459">
        <f t="shared" si="69"/>
        <v>0</v>
      </c>
      <c r="DA797" s="1460"/>
      <c r="DB797" s="1460"/>
      <c r="DC797" s="1460"/>
      <c r="DD797" s="1461"/>
      <c r="DE797" s="1459">
        <f t="shared" si="70"/>
        <v>0</v>
      </c>
      <c r="DF797" s="1460"/>
      <c r="DG797" s="1460"/>
      <c r="DH797" s="1460"/>
      <c r="DI797" s="1461"/>
      <c r="DJ797" s="1459">
        <f t="shared" si="71"/>
        <v>0</v>
      </c>
      <c r="DK797" s="1460"/>
      <c r="DL797" s="1460"/>
      <c r="DM797" s="1460"/>
      <c r="DN797" s="1461"/>
      <c r="DO797" s="1459">
        <f t="shared" si="72"/>
        <v>0</v>
      </c>
      <c r="DP797" s="1460"/>
      <c r="DQ797" s="1460"/>
      <c r="DR797" s="1460"/>
      <c r="DS797" s="1461"/>
      <c r="DT797" s="6"/>
      <c r="DU797" s="1459">
        <f t="shared" si="73"/>
        <v>0</v>
      </c>
      <c r="DV797" s="1460"/>
      <c r="DW797" s="1460"/>
      <c r="DX797" s="1460"/>
      <c r="DY797" s="1461"/>
      <c r="DZ797" s="1459">
        <f t="shared" si="74"/>
        <v>0</v>
      </c>
      <c r="EA797" s="1460"/>
      <c r="EB797" s="1460"/>
      <c r="EC797" s="1460"/>
      <c r="ED797" s="1461"/>
      <c r="EE797" s="1459">
        <f t="shared" si="75"/>
        <v>0</v>
      </c>
      <c r="EF797" s="1460"/>
      <c r="EG797" s="1460"/>
      <c r="EH797" s="1460"/>
      <c r="EI797" s="1461"/>
      <c r="EJ797" s="1459">
        <f t="shared" si="76"/>
        <v>0</v>
      </c>
      <c r="EK797" s="1460"/>
      <c r="EL797" s="1460"/>
      <c r="EM797" s="1460"/>
      <c r="EN797" s="1461"/>
      <c r="EO797" s="1459">
        <f t="shared" si="77"/>
        <v>0</v>
      </c>
      <c r="EP797" s="1460"/>
      <c r="EQ797" s="1460"/>
      <c r="ER797" s="1460"/>
      <c r="ES797" s="1461"/>
      <c r="ET797" s="1459">
        <f t="shared" si="78"/>
        <v>0</v>
      </c>
      <c r="EU797" s="1460"/>
      <c r="EV797" s="1460"/>
      <c r="EW797" s="1460"/>
      <c r="EX797" s="1461"/>
    </row>
    <row r="798" spans="1:154" s="14" customFormat="1" ht="12.95" customHeight="1">
      <c r="A798"/>
      <c r="B798"/>
      <c r="C798"/>
      <c r="D798"/>
      <c r="E798"/>
      <c r="F798"/>
      <c r="G798"/>
      <c r="H798"/>
      <c r="I798"/>
      <c r="J798" s="1314"/>
      <c r="K798" s="1315"/>
      <c r="L798" s="1315"/>
      <c r="M798" s="1315"/>
      <c r="N798" s="1316"/>
      <c r="O798" s="1327"/>
      <c r="P798" s="1327"/>
      <c r="Q798" s="1327"/>
      <c r="R798" s="1327"/>
      <c r="S798" s="1327"/>
      <c r="T798" s="1342"/>
      <c r="U798" s="1343"/>
      <c r="V798" s="1343"/>
      <c r="W798" s="1344"/>
      <c r="X798" s="1373"/>
      <c r="Y798" s="1374"/>
      <c r="Z798" s="1374"/>
      <c r="AA798" s="1374"/>
      <c r="AB798" s="1375"/>
      <c r="AC798" s="1370">
        <f t="shared" si="66"/>
        <v>0</v>
      </c>
      <c r="AD798" s="1371"/>
      <c r="AE798" s="1371"/>
      <c r="AF798" s="1371"/>
      <c r="AG798" s="1372"/>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59">
        <f t="shared" si="67"/>
        <v>0</v>
      </c>
      <c r="CQ798" s="1460"/>
      <c r="CR798" s="1460"/>
      <c r="CS798" s="1460"/>
      <c r="CT798" s="1461"/>
      <c r="CU798" s="1459">
        <f t="shared" si="68"/>
        <v>0</v>
      </c>
      <c r="CV798" s="1460"/>
      <c r="CW798" s="1460"/>
      <c r="CX798" s="1460"/>
      <c r="CY798" s="1461"/>
      <c r="CZ798" s="1459">
        <f t="shared" si="69"/>
        <v>0</v>
      </c>
      <c r="DA798" s="1460"/>
      <c r="DB798" s="1460"/>
      <c r="DC798" s="1460"/>
      <c r="DD798" s="1461"/>
      <c r="DE798" s="1459">
        <f t="shared" si="70"/>
        <v>0</v>
      </c>
      <c r="DF798" s="1460"/>
      <c r="DG798" s="1460"/>
      <c r="DH798" s="1460"/>
      <c r="DI798" s="1461"/>
      <c r="DJ798" s="1459">
        <f t="shared" si="71"/>
        <v>0</v>
      </c>
      <c r="DK798" s="1460"/>
      <c r="DL798" s="1460"/>
      <c r="DM798" s="1460"/>
      <c r="DN798" s="1461"/>
      <c r="DO798" s="1459">
        <f t="shared" si="72"/>
        <v>0</v>
      </c>
      <c r="DP798" s="1460"/>
      <c r="DQ798" s="1460"/>
      <c r="DR798" s="1460"/>
      <c r="DS798" s="1461"/>
      <c r="DT798" s="6"/>
      <c r="DU798" s="1459">
        <f t="shared" si="73"/>
        <v>0</v>
      </c>
      <c r="DV798" s="1460"/>
      <c r="DW798" s="1460"/>
      <c r="DX798" s="1460"/>
      <c r="DY798" s="1461"/>
      <c r="DZ798" s="1459">
        <f t="shared" si="74"/>
        <v>0</v>
      </c>
      <c r="EA798" s="1460"/>
      <c r="EB798" s="1460"/>
      <c r="EC798" s="1460"/>
      <c r="ED798" s="1461"/>
      <c r="EE798" s="1459">
        <f t="shared" si="75"/>
        <v>0</v>
      </c>
      <c r="EF798" s="1460"/>
      <c r="EG798" s="1460"/>
      <c r="EH798" s="1460"/>
      <c r="EI798" s="1461"/>
      <c r="EJ798" s="1459">
        <f t="shared" si="76"/>
        <v>0</v>
      </c>
      <c r="EK798" s="1460"/>
      <c r="EL798" s="1460"/>
      <c r="EM798" s="1460"/>
      <c r="EN798" s="1461"/>
      <c r="EO798" s="1459">
        <f t="shared" si="77"/>
        <v>0</v>
      </c>
      <c r="EP798" s="1460"/>
      <c r="EQ798" s="1460"/>
      <c r="ER798" s="1460"/>
      <c r="ES798" s="1461"/>
      <c r="ET798" s="1459">
        <f t="shared" si="78"/>
        <v>0</v>
      </c>
      <c r="EU798" s="1460"/>
      <c r="EV798" s="1460"/>
      <c r="EW798" s="1460"/>
      <c r="EX798" s="1461"/>
    </row>
    <row r="799" spans="1:154" s="14" customFormat="1" ht="12.95" customHeight="1">
      <c r="A799"/>
      <c r="B799"/>
      <c r="C799"/>
      <c r="D799"/>
      <c r="E799"/>
      <c r="F799"/>
      <c r="G799"/>
      <c r="H799"/>
      <c r="I799"/>
      <c r="J799" s="1314"/>
      <c r="K799" s="1315"/>
      <c r="L799" s="1315"/>
      <c r="M799" s="1315"/>
      <c r="N799" s="1316"/>
      <c r="O799" s="1327"/>
      <c r="P799" s="1327"/>
      <c r="Q799" s="1327"/>
      <c r="R799" s="1327"/>
      <c r="S799" s="1327"/>
      <c r="T799" s="1342"/>
      <c r="U799" s="1343"/>
      <c r="V799" s="1343"/>
      <c r="W799" s="1344"/>
      <c r="X799" s="1373"/>
      <c r="Y799" s="1374"/>
      <c r="Z799" s="1374"/>
      <c r="AA799" s="1374"/>
      <c r="AB799" s="1375"/>
      <c r="AC799" s="1370">
        <f t="shared" si="66"/>
        <v>0</v>
      </c>
      <c r="AD799" s="1371"/>
      <c r="AE799" s="1371"/>
      <c r="AF799" s="1371"/>
      <c r="AG799" s="1372"/>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59">
        <f t="shared" si="67"/>
        <v>0</v>
      </c>
      <c r="CQ799" s="1460"/>
      <c r="CR799" s="1460"/>
      <c r="CS799" s="1460"/>
      <c r="CT799" s="1461"/>
      <c r="CU799" s="1459">
        <f t="shared" si="68"/>
        <v>0</v>
      </c>
      <c r="CV799" s="1460"/>
      <c r="CW799" s="1460"/>
      <c r="CX799" s="1460"/>
      <c r="CY799" s="1461"/>
      <c r="CZ799" s="1459">
        <f t="shared" si="69"/>
        <v>0</v>
      </c>
      <c r="DA799" s="1460"/>
      <c r="DB799" s="1460"/>
      <c r="DC799" s="1460"/>
      <c r="DD799" s="1461"/>
      <c r="DE799" s="1459">
        <f t="shared" si="70"/>
        <v>0</v>
      </c>
      <c r="DF799" s="1460"/>
      <c r="DG799" s="1460"/>
      <c r="DH799" s="1460"/>
      <c r="DI799" s="1461"/>
      <c r="DJ799" s="1459">
        <f t="shared" si="71"/>
        <v>0</v>
      </c>
      <c r="DK799" s="1460"/>
      <c r="DL799" s="1460"/>
      <c r="DM799" s="1460"/>
      <c r="DN799" s="1461"/>
      <c r="DO799" s="1459">
        <f t="shared" si="72"/>
        <v>0</v>
      </c>
      <c r="DP799" s="1460"/>
      <c r="DQ799" s="1460"/>
      <c r="DR799" s="1460"/>
      <c r="DS799" s="1461"/>
      <c r="DT799" s="6"/>
      <c r="DU799" s="1459">
        <f t="shared" si="73"/>
        <v>0</v>
      </c>
      <c r="DV799" s="1460"/>
      <c r="DW799" s="1460"/>
      <c r="DX799" s="1460"/>
      <c r="DY799" s="1461"/>
      <c r="DZ799" s="1459">
        <f t="shared" si="74"/>
        <v>0</v>
      </c>
      <c r="EA799" s="1460"/>
      <c r="EB799" s="1460"/>
      <c r="EC799" s="1460"/>
      <c r="ED799" s="1461"/>
      <c r="EE799" s="1459">
        <f t="shared" si="75"/>
        <v>0</v>
      </c>
      <c r="EF799" s="1460"/>
      <c r="EG799" s="1460"/>
      <c r="EH799" s="1460"/>
      <c r="EI799" s="1461"/>
      <c r="EJ799" s="1459">
        <f t="shared" si="76"/>
        <v>0</v>
      </c>
      <c r="EK799" s="1460"/>
      <c r="EL799" s="1460"/>
      <c r="EM799" s="1460"/>
      <c r="EN799" s="1461"/>
      <c r="EO799" s="1459">
        <f t="shared" si="77"/>
        <v>0</v>
      </c>
      <c r="EP799" s="1460"/>
      <c r="EQ799" s="1460"/>
      <c r="ER799" s="1460"/>
      <c r="ES799" s="1461"/>
      <c r="ET799" s="1459">
        <f t="shared" si="78"/>
        <v>0</v>
      </c>
      <c r="EU799" s="1460"/>
      <c r="EV799" s="1460"/>
      <c r="EW799" s="1460"/>
      <c r="EX799" s="1461"/>
    </row>
    <row r="800" spans="1:154" s="14" customFormat="1" ht="12.95" customHeight="1">
      <c r="A800"/>
      <c r="B800"/>
      <c r="C800"/>
      <c r="D800"/>
      <c r="E800"/>
      <c r="F800"/>
      <c r="G800"/>
      <c r="H800"/>
      <c r="I800"/>
      <c r="J800" s="1314"/>
      <c r="K800" s="1315"/>
      <c r="L800" s="1315"/>
      <c r="M800" s="1315"/>
      <c r="N800" s="1316"/>
      <c r="O800" s="1327"/>
      <c r="P800" s="1327"/>
      <c r="Q800" s="1327"/>
      <c r="R800" s="1327"/>
      <c r="S800" s="1327"/>
      <c r="T800" s="1342"/>
      <c r="U800" s="1343"/>
      <c r="V800" s="1343"/>
      <c r="W800" s="1344"/>
      <c r="X800" s="1373"/>
      <c r="Y800" s="1374"/>
      <c r="Z800" s="1374"/>
      <c r="AA800" s="1374"/>
      <c r="AB800" s="1375"/>
      <c r="AC800" s="1370">
        <f t="shared" si="66"/>
        <v>0</v>
      </c>
      <c r="AD800" s="1371"/>
      <c r="AE800" s="1371"/>
      <c r="AF800" s="1371"/>
      <c r="AG800" s="1372"/>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59">
        <f t="shared" si="67"/>
        <v>0</v>
      </c>
      <c r="CQ800" s="1460"/>
      <c r="CR800" s="1460"/>
      <c r="CS800" s="1460"/>
      <c r="CT800" s="1461"/>
      <c r="CU800" s="1459">
        <f t="shared" si="68"/>
        <v>0</v>
      </c>
      <c r="CV800" s="1460"/>
      <c r="CW800" s="1460"/>
      <c r="CX800" s="1460"/>
      <c r="CY800" s="1461"/>
      <c r="CZ800" s="1459">
        <f t="shared" si="69"/>
        <v>0</v>
      </c>
      <c r="DA800" s="1460"/>
      <c r="DB800" s="1460"/>
      <c r="DC800" s="1460"/>
      <c r="DD800" s="1461"/>
      <c r="DE800" s="1459">
        <f t="shared" si="70"/>
        <v>0</v>
      </c>
      <c r="DF800" s="1460"/>
      <c r="DG800" s="1460"/>
      <c r="DH800" s="1460"/>
      <c r="DI800" s="1461"/>
      <c r="DJ800" s="1459">
        <f t="shared" si="71"/>
        <v>0</v>
      </c>
      <c r="DK800" s="1460"/>
      <c r="DL800" s="1460"/>
      <c r="DM800" s="1460"/>
      <c r="DN800" s="1461"/>
      <c r="DO800" s="1459">
        <f t="shared" si="72"/>
        <v>0</v>
      </c>
      <c r="DP800" s="1460"/>
      <c r="DQ800" s="1460"/>
      <c r="DR800" s="1460"/>
      <c r="DS800" s="1461"/>
      <c r="DT800" s="6"/>
      <c r="DU800" s="1459">
        <f t="shared" si="73"/>
        <v>0</v>
      </c>
      <c r="DV800" s="1460"/>
      <c r="DW800" s="1460"/>
      <c r="DX800" s="1460"/>
      <c r="DY800" s="1461"/>
      <c r="DZ800" s="1459">
        <f t="shared" si="74"/>
        <v>0</v>
      </c>
      <c r="EA800" s="1460"/>
      <c r="EB800" s="1460"/>
      <c r="EC800" s="1460"/>
      <c r="ED800" s="1461"/>
      <c r="EE800" s="1459">
        <f t="shared" si="75"/>
        <v>0</v>
      </c>
      <c r="EF800" s="1460"/>
      <c r="EG800" s="1460"/>
      <c r="EH800" s="1460"/>
      <c r="EI800" s="1461"/>
      <c r="EJ800" s="1459">
        <f t="shared" si="76"/>
        <v>0</v>
      </c>
      <c r="EK800" s="1460"/>
      <c r="EL800" s="1460"/>
      <c r="EM800" s="1460"/>
      <c r="EN800" s="1461"/>
      <c r="EO800" s="1459">
        <f t="shared" si="77"/>
        <v>0</v>
      </c>
      <c r="EP800" s="1460"/>
      <c r="EQ800" s="1460"/>
      <c r="ER800" s="1460"/>
      <c r="ES800" s="1461"/>
      <c r="ET800" s="1459">
        <f t="shared" si="78"/>
        <v>0</v>
      </c>
      <c r="EU800" s="1460"/>
      <c r="EV800" s="1460"/>
      <c r="EW800" s="1460"/>
      <c r="EX800" s="1461"/>
    </row>
    <row r="801" spans="1:154" s="14" customFormat="1" ht="12.95" customHeight="1">
      <c r="A801"/>
      <c r="B801"/>
      <c r="C801"/>
      <c r="D801"/>
      <c r="E801"/>
      <c r="F801"/>
      <c r="G801"/>
      <c r="H801"/>
      <c r="I801"/>
      <c r="J801" s="1314"/>
      <c r="K801" s="1315"/>
      <c r="L801" s="1315"/>
      <c r="M801" s="1315"/>
      <c r="N801" s="1316"/>
      <c r="O801" s="1327"/>
      <c r="P801" s="1327"/>
      <c r="Q801" s="1327"/>
      <c r="R801" s="1327"/>
      <c r="S801" s="1327"/>
      <c r="T801" s="1342"/>
      <c r="U801" s="1343"/>
      <c r="V801" s="1343"/>
      <c r="W801" s="1344"/>
      <c r="X801" s="1373"/>
      <c r="Y801" s="1374"/>
      <c r="Z801" s="1374"/>
      <c r="AA801" s="1374"/>
      <c r="AB801" s="1375"/>
      <c r="AC801" s="1370">
        <f t="shared" si="66"/>
        <v>0</v>
      </c>
      <c r="AD801" s="1371"/>
      <c r="AE801" s="1371"/>
      <c r="AF801" s="1371"/>
      <c r="AG801" s="1372"/>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59">
        <f t="shared" si="67"/>
        <v>0</v>
      </c>
      <c r="CQ801" s="1460"/>
      <c r="CR801" s="1460"/>
      <c r="CS801" s="1460"/>
      <c r="CT801" s="1461"/>
      <c r="CU801" s="1459">
        <f t="shared" si="68"/>
        <v>0</v>
      </c>
      <c r="CV801" s="1460"/>
      <c r="CW801" s="1460"/>
      <c r="CX801" s="1460"/>
      <c r="CY801" s="1461"/>
      <c r="CZ801" s="1459">
        <f t="shared" si="69"/>
        <v>0</v>
      </c>
      <c r="DA801" s="1460"/>
      <c r="DB801" s="1460"/>
      <c r="DC801" s="1460"/>
      <c r="DD801" s="1461"/>
      <c r="DE801" s="1459">
        <f t="shared" si="70"/>
        <v>0</v>
      </c>
      <c r="DF801" s="1460"/>
      <c r="DG801" s="1460"/>
      <c r="DH801" s="1460"/>
      <c r="DI801" s="1461"/>
      <c r="DJ801" s="1459">
        <f t="shared" si="71"/>
        <v>0</v>
      </c>
      <c r="DK801" s="1460"/>
      <c r="DL801" s="1460"/>
      <c r="DM801" s="1460"/>
      <c r="DN801" s="1461"/>
      <c r="DO801" s="1459">
        <f t="shared" si="72"/>
        <v>0</v>
      </c>
      <c r="DP801" s="1460"/>
      <c r="DQ801" s="1460"/>
      <c r="DR801" s="1460"/>
      <c r="DS801" s="1461"/>
      <c r="DT801" s="6"/>
      <c r="DU801" s="1459">
        <f t="shared" si="73"/>
        <v>0</v>
      </c>
      <c r="DV801" s="1460"/>
      <c r="DW801" s="1460"/>
      <c r="DX801" s="1460"/>
      <c r="DY801" s="1461"/>
      <c r="DZ801" s="1459">
        <f t="shared" si="74"/>
        <v>0</v>
      </c>
      <c r="EA801" s="1460"/>
      <c r="EB801" s="1460"/>
      <c r="EC801" s="1460"/>
      <c r="ED801" s="1461"/>
      <c r="EE801" s="1459">
        <f t="shared" si="75"/>
        <v>0</v>
      </c>
      <c r="EF801" s="1460"/>
      <c r="EG801" s="1460"/>
      <c r="EH801" s="1460"/>
      <c r="EI801" s="1461"/>
      <c r="EJ801" s="1459">
        <f t="shared" si="76"/>
        <v>0</v>
      </c>
      <c r="EK801" s="1460"/>
      <c r="EL801" s="1460"/>
      <c r="EM801" s="1460"/>
      <c r="EN801" s="1461"/>
      <c r="EO801" s="1459">
        <f t="shared" si="77"/>
        <v>0</v>
      </c>
      <c r="EP801" s="1460"/>
      <c r="EQ801" s="1460"/>
      <c r="ER801" s="1460"/>
      <c r="ES801" s="1461"/>
      <c r="ET801" s="1459">
        <f t="shared" si="78"/>
        <v>0</v>
      </c>
      <c r="EU801" s="1460"/>
      <c r="EV801" s="1460"/>
      <c r="EW801" s="1460"/>
      <c r="EX801" s="1461"/>
    </row>
    <row r="802" spans="1:154" s="14" customFormat="1" ht="12.95" customHeight="1">
      <c r="A802"/>
      <c r="B802"/>
      <c r="C802"/>
      <c r="D802"/>
      <c r="E802"/>
      <c r="F802"/>
      <c r="G802"/>
      <c r="H802"/>
      <c r="I802"/>
      <c r="J802" s="1314"/>
      <c r="K802" s="1315"/>
      <c r="L802" s="1315"/>
      <c r="M802" s="1315"/>
      <c r="N802" s="1316"/>
      <c r="O802" s="1327"/>
      <c r="P802" s="1327"/>
      <c r="Q802" s="1327"/>
      <c r="R802" s="1327"/>
      <c r="S802" s="1327"/>
      <c r="T802" s="1342"/>
      <c r="U802" s="1343"/>
      <c r="V802" s="1343"/>
      <c r="W802" s="1344"/>
      <c r="X802" s="1373"/>
      <c r="Y802" s="1374"/>
      <c r="Z802" s="1374"/>
      <c r="AA802" s="1374"/>
      <c r="AB802" s="1375"/>
      <c r="AC802" s="1370">
        <f t="shared" si="66"/>
        <v>0</v>
      </c>
      <c r="AD802" s="1371"/>
      <c r="AE802" s="1371"/>
      <c r="AF802" s="1371"/>
      <c r="AG802" s="1372"/>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59">
        <f t="shared" si="67"/>
        <v>0</v>
      </c>
      <c r="CQ802" s="1460"/>
      <c r="CR802" s="1460"/>
      <c r="CS802" s="1460"/>
      <c r="CT802" s="1461"/>
      <c r="CU802" s="1459">
        <f t="shared" si="68"/>
        <v>0</v>
      </c>
      <c r="CV802" s="1460"/>
      <c r="CW802" s="1460"/>
      <c r="CX802" s="1460"/>
      <c r="CY802" s="1461"/>
      <c r="CZ802" s="1459">
        <f t="shared" si="69"/>
        <v>0</v>
      </c>
      <c r="DA802" s="1460"/>
      <c r="DB802" s="1460"/>
      <c r="DC802" s="1460"/>
      <c r="DD802" s="1461"/>
      <c r="DE802" s="1459">
        <f t="shared" si="70"/>
        <v>0</v>
      </c>
      <c r="DF802" s="1460"/>
      <c r="DG802" s="1460"/>
      <c r="DH802" s="1460"/>
      <c r="DI802" s="1461"/>
      <c r="DJ802" s="1459">
        <f t="shared" si="71"/>
        <v>0</v>
      </c>
      <c r="DK802" s="1460"/>
      <c r="DL802" s="1460"/>
      <c r="DM802" s="1460"/>
      <c r="DN802" s="1461"/>
      <c r="DO802" s="1459">
        <f t="shared" si="72"/>
        <v>0</v>
      </c>
      <c r="DP802" s="1460"/>
      <c r="DQ802" s="1460"/>
      <c r="DR802" s="1460"/>
      <c r="DS802" s="1461"/>
      <c r="DT802" s="6"/>
      <c r="DU802" s="1459">
        <f t="shared" si="73"/>
        <v>0</v>
      </c>
      <c r="DV802" s="1460"/>
      <c r="DW802" s="1460"/>
      <c r="DX802" s="1460"/>
      <c r="DY802" s="1461"/>
      <c r="DZ802" s="1459">
        <f t="shared" si="74"/>
        <v>0</v>
      </c>
      <c r="EA802" s="1460"/>
      <c r="EB802" s="1460"/>
      <c r="EC802" s="1460"/>
      <c r="ED802" s="1461"/>
      <c r="EE802" s="1459">
        <f t="shared" si="75"/>
        <v>0</v>
      </c>
      <c r="EF802" s="1460"/>
      <c r="EG802" s="1460"/>
      <c r="EH802" s="1460"/>
      <c r="EI802" s="1461"/>
      <c r="EJ802" s="1459">
        <f t="shared" si="76"/>
        <v>0</v>
      </c>
      <c r="EK802" s="1460"/>
      <c r="EL802" s="1460"/>
      <c r="EM802" s="1460"/>
      <c r="EN802" s="1461"/>
      <c r="EO802" s="1459">
        <f t="shared" si="77"/>
        <v>0</v>
      </c>
      <c r="EP802" s="1460"/>
      <c r="EQ802" s="1460"/>
      <c r="ER802" s="1460"/>
      <c r="ES802" s="1461"/>
      <c r="ET802" s="1459">
        <f t="shared" si="78"/>
        <v>0</v>
      </c>
      <c r="EU802" s="1460"/>
      <c r="EV802" s="1460"/>
      <c r="EW802" s="1460"/>
      <c r="EX802" s="1461"/>
    </row>
    <row r="803" spans="1:154" s="14" customFormat="1" ht="12.95" customHeight="1">
      <c r="A803"/>
      <c r="B803"/>
      <c r="C803"/>
      <c r="D803"/>
      <c r="E803"/>
      <c r="F803"/>
      <c r="G803"/>
      <c r="H803"/>
      <c r="I803"/>
      <c r="J803" s="1314"/>
      <c r="K803" s="1315"/>
      <c r="L803" s="1315"/>
      <c r="M803" s="1315"/>
      <c r="N803" s="1316"/>
      <c r="O803" s="1327"/>
      <c r="P803" s="1327"/>
      <c r="Q803" s="1327"/>
      <c r="R803" s="1327"/>
      <c r="S803" s="1327"/>
      <c r="T803" s="1342"/>
      <c r="U803" s="1343"/>
      <c r="V803" s="1343"/>
      <c r="W803" s="1344"/>
      <c r="X803" s="1373"/>
      <c r="Y803" s="1374"/>
      <c r="Z803" s="1374"/>
      <c r="AA803" s="1374"/>
      <c r="AB803" s="1375"/>
      <c r="AC803" s="1370">
        <f t="shared" si="66"/>
        <v>0</v>
      </c>
      <c r="AD803" s="1371"/>
      <c r="AE803" s="1371"/>
      <c r="AF803" s="1371"/>
      <c r="AG803" s="1372"/>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59">
        <f t="shared" si="67"/>
        <v>0</v>
      </c>
      <c r="CQ803" s="1460"/>
      <c r="CR803" s="1460"/>
      <c r="CS803" s="1460"/>
      <c r="CT803" s="1461"/>
      <c r="CU803" s="1459">
        <f t="shared" si="68"/>
        <v>0</v>
      </c>
      <c r="CV803" s="1460"/>
      <c r="CW803" s="1460"/>
      <c r="CX803" s="1460"/>
      <c r="CY803" s="1461"/>
      <c r="CZ803" s="1459">
        <f t="shared" si="69"/>
        <v>0</v>
      </c>
      <c r="DA803" s="1460"/>
      <c r="DB803" s="1460"/>
      <c r="DC803" s="1460"/>
      <c r="DD803" s="1461"/>
      <c r="DE803" s="1459">
        <f t="shared" si="70"/>
        <v>0</v>
      </c>
      <c r="DF803" s="1460"/>
      <c r="DG803" s="1460"/>
      <c r="DH803" s="1460"/>
      <c r="DI803" s="1461"/>
      <c r="DJ803" s="1459">
        <f t="shared" si="71"/>
        <v>0</v>
      </c>
      <c r="DK803" s="1460"/>
      <c r="DL803" s="1460"/>
      <c r="DM803" s="1460"/>
      <c r="DN803" s="1461"/>
      <c r="DO803" s="1459">
        <f t="shared" si="72"/>
        <v>0</v>
      </c>
      <c r="DP803" s="1460"/>
      <c r="DQ803" s="1460"/>
      <c r="DR803" s="1460"/>
      <c r="DS803" s="1461"/>
      <c r="DT803" s="6"/>
      <c r="DU803" s="1459">
        <f t="shared" si="73"/>
        <v>0</v>
      </c>
      <c r="DV803" s="1460"/>
      <c r="DW803" s="1460"/>
      <c r="DX803" s="1460"/>
      <c r="DY803" s="1461"/>
      <c r="DZ803" s="1459">
        <f t="shared" si="74"/>
        <v>0</v>
      </c>
      <c r="EA803" s="1460"/>
      <c r="EB803" s="1460"/>
      <c r="EC803" s="1460"/>
      <c r="ED803" s="1461"/>
      <c r="EE803" s="1459">
        <f t="shared" si="75"/>
        <v>0</v>
      </c>
      <c r="EF803" s="1460"/>
      <c r="EG803" s="1460"/>
      <c r="EH803" s="1460"/>
      <c r="EI803" s="1461"/>
      <c r="EJ803" s="1459">
        <f t="shared" si="76"/>
        <v>0</v>
      </c>
      <c r="EK803" s="1460"/>
      <c r="EL803" s="1460"/>
      <c r="EM803" s="1460"/>
      <c r="EN803" s="1461"/>
      <c r="EO803" s="1459">
        <f t="shared" si="77"/>
        <v>0</v>
      </c>
      <c r="EP803" s="1460"/>
      <c r="EQ803" s="1460"/>
      <c r="ER803" s="1460"/>
      <c r="ES803" s="1461"/>
      <c r="ET803" s="1459">
        <f t="shared" si="78"/>
        <v>0</v>
      </c>
      <c r="EU803" s="1460"/>
      <c r="EV803" s="1460"/>
      <c r="EW803" s="1460"/>
      <c r="EX803" s="1461"/>
    </row>
    <row r="804" spans="1:154" s="4" customFormat="1" ht="12.95" customHeight="1">
      <c r="A804"/>
      <c r="B804"/>
      <c r="C804"/>
      <c r="D804"/>
      <c r="E804"/>
      <c r="F804"/>
      <c r="G804"/>
      <c r="H804"/>
      <c r="I804"/>
      <c r="J804" s="1314"/>
      <c r="K804" s="1315"/>
      <c r="L804" s="1315"/>
      <c r="M804" s="1315"/>
      <c r="N804" s="1316"/>
      <c r="O804" s="1327"/>
      <c r="P804" s="1327"/>
      <c r="Q804" s="1327"/>
      <c r="R804" s="1327"/>
      <c r="S804" s="1327"/>
      <c r="T804" s="1342"/>
      <c r="U804" s="1343"/>
      <c r="V804" s="1343"/>
      <c r="W804" s="1344"/>
      <c r="X804" s="1373"/>
      <c r="Y804" s="1374"/>
      <c r="Z804" s="1374"/>
      <c r="AA804" s="1374"/>
      <c r="AB804" s="1375"/>
      <c r="AC804" s="1370">
        <f t="shared" si="66"/>
        <v>0</v>
      </c>
      <c r="AD804" s="1371"/>
      <c r="AE804" s="1371"/>
      <c r="AF804" s="1371"/>
      <c r="AG804" s="1372"/>
      <c r="AH804"/>
      <c r="AI804"/>
      <c r="AJ804"/>
      <c r="AK804"/>
      <c r="AL804"/>
      <c r="AM804"/>
      <c r="AN804"/>
      <c r="AO804"/>
      <c r="AP804"/>
      <c r="AQ804"/>
      <c r="AR804"/>
      <c r="AS804"/>
      <c r="AT804"/>
      <c r="AU804"/>
      <c r="AV804"/>
      <c r="AW804"/>
      <c r="AX804"/>
      <c r="AY804"/>
      <c r="AZ804" s="3"/>
      <c r="CP804" s="1459">
        <f t="shared" si="67"/>
        <v>0</v>
      </c>
      <c r="CQ804" s="1460"/>
      <c r="CR804" s="1460"/>
      <c r="CS804" s="1460"/>
      <c r="CT804" s="1461"/>
      <c r="CU804" s="1459">
        <f t="shared" si="68"/>
        <v>0</v>
      </c>
      <c r="CV804" s="1460"/>
      <c r="CW804" s="1460"/>
      <c r="CX804" s="1460"/>
      <c r="CY804" s="1461"/>
      <c r="CZ804" s="1459">
        <f t="shared" si="69"/>
        <v>0</v>
      </c>
      <c r="DA804" s="1460"/>
      <c r="DB804" s="1460"/>
      <c r="DC804" s="1460"/>
      <c r="DD804" s="1461"/>
      <c r="DE804" s="1459">
        <f t="shared" si="70"/>
        <v>0</v>
      </c>
      <c r="DF804" s="1460"/>
      <c r="DG804" s="1460"/>
      <c r="DH804" s="1460"/>
      <c r="DI804" s="1461"/>
      <c r="DJ804" s="1459">
        <f t="shared" si="71"/>
        <v>0</v>
      </c>
      <c r="DK804" s="1460"/>
      <c r="DL804" s="1460"/>
      <c r="DM804" s="1460"/>
      <c r="DN804" s="1461"/>
      <c r="DO804" s="1459">
        <f t="shared" si="72"/>
        <v>0</v>
      </c>
      <c r="DP804" s="1460"/>
      <c r="DQ804" s="1460"/>
      <c r="DR804" s="1460"/>
      <c r="DS804" s="1461"/>
      <c r="DT804" s="6"/>
      <c r="DU804" s="1459">
        <f t="shared" si="73"/>
        <v>0</v>
      </c>
      <c r="DV804" s="1460"/>
      <c r="DW804" s="1460"/>
      <c r="DX804" s="1460"/>
      <c r="DY804" s="1461"/>
      <c r="DZ804" s="1459">
        <f t="shared" si="74"/>
        <v>0</v>
      </c>
      <c r="EA804" s="1460"/>
      <c r="EB804" s="1460"/>
      <c r="EC804" s="1460"/>
      <c r="ED804" s="1461"/>
      <c r="EE804" s="1459">
        <f t="shared" si="75"/>
        <v>0</v>
      </c>
      <c r="EF804" s="1460"/>
      <c r="EG804" s="1460"/>
      <c r="EH804" s="1460"/>
      <c r="EI804" s="1461"/>
      <c r="EJ804" s="1459">
        <f t="shared" si="76"/>
        <v>0</v>
      </c>
      <c r="EK804" s="1460"/>
      <c r="EL804" s="1460"/>
      <c r="EM804" s="1460"/>
      <c r="EN804" s="1461"/>
      <c r="EO804" s="1459">
        <f t="shared" si="77"/>
        <v>0</v>
      </c>
      <c r="EP804" s="1460"/>
      <c r="EQ804" s="1460"/>
      <c r="ER804" s="1460"/>
      <c r="ES804" s="1461"/>
      <c r="ET804" s="1459">
        <f t="shared" si="78"/>
        <v>0</v>
      </c>
      <c r="EU804" s="1460"/>
      <c r="EV804" s="1460"/>
      <c r="EW804" s="1460"/>
      <c r="EX804" s="1461"/>
    </row>
    <row r="805" spans="1:154" s="4" customFormat="1" ht="12.95" customHeight="1">
      <c r="A805"/>
      <c r="B805"/>
      <c r="C805"/>
      <c r="D805"/>
      <c r="E805"/>
      <c r="F805"/>
      <c r="G805"/>
      <c r="H805"/>
      <c r="I805"/>
      <c r="J805" s="1388" t="s">
        <v>125</v>
      </c>
      <c r="K805" s="1389"/>
      <c r="L805" s="1389"/>
      <c r="M805" s="1389"/>
      <c r="N805" s="1390"/>
      <c r="O805" s="1668">
        <f>SUM(O795:S804)</f>
        <v>0</v>
      </c>
      <c r="P805" s="1668"/>
      <c r="Q805" s="1668"/>
      <c r="R805" s="1668"/>
      <c r="S805" s="1668"/>
      <c r="T805"/>
      <c r="U805"/>
      <c r="V805"/>
      <c r="W805"/>
      <c r="X805" s="898" t="s">
        <v>124</v>
      </c>
      <c r="Y805" s="11"/>
      <c r="Z805" s="11"/>
      <c r="AA805" s="11"/>
      <c r="AB805" s="905"/>
      <c r="AC805" s="1370">
        <f>SUM(AC795:AG804)</f>
        <v>0</v>
      </c>
      <c r="AD805" s="1371"/>
      <c r="AE805" s="1371"/>
      <c r="AF805" s="1371"/>
      <c r="AG805" s="1372"/>
      <c r="AH805"/>
      <c r="AI805"/>
      <c r="AJ805"/>
      <c r="AK805"/>
      <c r="AL805"/>
      <c r="AM805"/>
      <c r="AN805"/>
      <c r="AO805"/>
      <c r="AP805"/>
      <c r="AQ805"/>
      <c r="AR805"/>
      <c r="AS805"/>
      <c r="AT805"/>
      <c r="AU805"/>
      <c r="AV805"/>
      <c r="AW805"/>
      <c r="AX805"/>
      <c r="AY805"/>
      <c r="AZ805" s="3"/>
      <c r="BA805"/>
      <c r="CP805" s="1456">
        <f>SUM(CP795:CT804)</f>
        <v>0</v>
      </c>
      <c r="CQ805" s="1457"/>
      <c r="CR805" s="1457"/>
      <c r="CS805" s="1457"/>
      <c r="CT805" s="1458"/>
      <c r="CU805" s="1611">
        <f>SUM(CU795:CY804)</f>
        <v>0</v>
      </c>
      <c r="CV805" s="1612"/>
      <c r="CW805" s="1612"/>
      <c r="CX805" s="1612"/>
      <c r="CY805" s="1613"/>
      <c r="CZ805" s="1611">
        <f>SUM(CZ795:DD804)</f>
        <v>0</v>
      </c>
      <c r="DA805" s="1612"/>
      <c r="DB805" s="1612"/>
      <c r="DC805" s="1612"/>
      <c r="DD805" s="1613"/>
      <c r="DE805" s="1611">
        <f>SUM(DE795:DI804)</f>
        <v>0</v>
      </c>
      <c r="DF805" s="1612"/>
      <c r="DG805" s="1612"/>
      <c r="DH805" s="1612"/>
      <c r="DI805" s="1613"/>
      <c r="DJ805" s="1611">
        <f>SUM(DJ795:DN804)</f>
        <v>0</v>
      </c>
      <c r="DK805" s="1612"/>
      <c r="DL805" s="1612"/>
      <c r="DM805" s="1612"/>
      <c r="DN805" s="1613"/>
      <c r="DO805" s="1611">
        <f>SUM(DO795:DS804)</f>
        <v>0</v>
      </c>
      <c r="DP805" s="1612"/>
      <c r="DQ805" s="1612"/>
      <c r="DR805" s="1612"/>
      <c r="DS805" s="1613"/>
      <c r="DT805" s="1007"/>
      <c r="DU805" s="1456">
        <f>SUM(DU795:DY804)</f>
        <v>0</v>
      </c>
      <c r="DV805" s="1457"/>
      <c r="DW805" s="1457"/>
      <c r="DX805" s="1457"/>
      <c r="DY805" s="1458"/>
      <c r="DZ805" s="1456">
        <f>SUM(DZ795:ED804)</f>
        <v>0</v>
      </c>
      <c r="EA805" s="1457"/>
      <c r="EB805" s="1457"/>
      <c r="EC805" s="1457"/>
      <c r="ED805" s="1458"/>
      <c r="EE805" s="1456">
        <f>SUM(EE795:EI804)</f>
        <v>0</v>
      </c>
      <c r="EF805" s="1457"/>
      <c r="EG805" s="1457"/>
      <c r="EH805" s="1457"/>
      <c r="EI805" s="1458"/>
      <c r="EJ805" s="1456">
        <f>SUM(EJ795:EN804)</f>
        <v>0</v>
      </c>
      <c r="EK805" s="1457"/>
      <c r="EL805" s="1457"/>
      <c r="EM805" s="1457"/>
      <c r="EN805" s="1458"/>
      <c r="EO805" s="1456">
        <f>SUM(EO795:ES804)</f>
        <v>0</v>
      </c>
      <c r="EP805" s="1457"/>
      <c r="EQ805" s="1457"/>
      <c r="ER805" s="1457"/>
      <c r="ES805" s="1458"/>
      <c r="ET805" s="1456">
        <f>SUM(ET795:EX804)</f>
        <v>0</v>
      </c>
      <c r="EU805" s="1457"/>
      <c r="EV805" s="1457"/>
      <c r="EW805" s="1457"/>
      <c r="EX805" s="1458"/>
    </row>
    <row r="806" spans="1:154" s="4" customFormat="1" ht="12.95" customHeight="1">
      <c r="A806"/>
      <c r="B806"/>
      <c r="C806" s="1653" t="str">
        <f>IF(O805&lt;&gt;AG447,"! Total market rate units in the Unit Mix Table above does not match the number of  market rate units on row #"&amp;TEXT(ROW(D447),"#"),"")</f>
        <v/>
      </c>
      <c r="D806" s="1653"/>
      <c r="E806" s="1653"/>
      <c r="F806" s="1653"/>
      <c r="G806" s="1653"/>
      <c r="H806" s="1653"/>
      <c r="I806" s="1653"/>
      <c r="J806" s="1653"/>
      <c r="K806" s="1653"/>
      <c r="L806" s="1653"/>
      <c r="M806" s="1653"/>
      <c r="N806" s="1653"/>
      <c r="O806" s="1653"/>
      <c r="P806" s="1653"/>
      <c r="Q806" s="1653"/>
      <c r="R806" s="1653"/>
      <c r="S806" s="1653"/>
      <c r="T806" s="1653"/>
      <c r="U806" s="1653"/>
      <c r="V806" s="1653"/>
      <c r="W806" s="1653"/>
      <c r="X806" s="1653"/>
      <c r="Y806" s="1653"/>
      <c r="Z806" s="1653"/>
      <c r="AA806" s="1653"/>
      <c r="AB806" s="1653"/>
      <c r="AC806" s="1653"/>
      <c r="AD806" s="1653"/>
      <c r="AE806" s="1653"/>
      <c r="AF806" s="1653"/>
      <c r="AG806" s="1653"/>
      <c r="AH806" s="1653"/>
      <c r="AI806" s="1653"/>
      <c r="AJ806" s="1653"/>
      <c r="AK806" s="1653"/>
      <c r="AL806" s="1653"/>
      <c r="AM806" s="1653"/>
      <c r="AN806" s="1653"/>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53"/>
      <c r="D807" s="1653"/>
      <c r="E807" s="1653"/>
      <c r="F807" s="1653"/>
      <c r="G807" s="1653"/>
      <c r="H807" s="1653"/>
      <c r="I807" s="1653"/>
      <c r="J807" s="1653"/>
      <c r="K807" s="1653"/>
      <c r="L807" s="1653"/>
      <c r="M807" s="1653"/>
      <c r="N807" s="1653"/>
      <c r="O807" s="1653"/>
      <c r="P807" s="1653"/>
      <c r="Q807" s="1653"/>
      <c r="R807" s="1653"/>
      <c r="S807" s="1653"/>
      <c r="T807" s="1653"/>
      <c r="U807" s="1653"/>
      <c r="V807" s="1653"/>
      <c r="W807" s="1653"/>
      <c r="X807" s="1653"/>
      <c r="Y807" s="1653"/>
      <c r="Z807" s="1653"/>
      <c r="AA807" s="1653"/>
      <c r="AB807" s="1653"/>
      <c r="AC807" s="1653"/>
      <c r="AD807" s="1653"/>
      <c r="AE807" s="1653"/>
      <c r="AF807" s="1653"/>
      <c r="AG807" s="1653"/>
      <c r="AH807" s="1653"/>
      <c r="AI807" s="1653"/>
      <c r="AJ807" s="1653"/>
      <c r="AK807" s="1653"/>
      <c r="AL807" s="1653"/>
      <c r="AM807" s="1653"/>
      <c r="AN807" s="1653"/>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801">
        <f>SUM(DU805:EX805)</f>
        <v>0</v>
      </c>
      <c r="EU807" s="1802"/>
      <c r="EV807" s="1802"/>
      <c r="EW807" s="1802"/>
      <c r="EX807" s="1803"/>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285">
        <f>O761+AC785+AC805</f>
        <v>350352</v>
      </c>
      <c r="Z808" s="1285"/>
      <c r="AA808" s="1285"/>
      <c r="AB808" s="1285"/>
      <c r="AC808" s="1285"/>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285">
        <f>(O761+AC785+AC805)*12</f>
        <v>4204224</v>
      </c>
      <c r="Z809" s="1285"/>
      <c r="AA809" s="1285"/>
      <c r="AB809" s="1285"/>
      <c r="AC809" s="1285"/>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611">
        <f>CP761+CP785+CP805</f>
        <v>4</v>
      </c>
      <c r="CQ810" s="1612"/>
      <c r="CR810" s="1612"/>
      <c r="CS810" s="1612"/>
      <c r="CT810" s="1613"/>
      <c r="CU810" s="1611">
        <f>CU761+CU785+CU805</f>
        <v>79</v>
      </c>
      <c r="CV810" s="1612"/>
      <c r="CW810" s="1612"/>
      <c r="CX810" s="1612"/>
      <c r="CY810" s="1613"/>
      <c r="CZ810" s="1611">
        <f>CZ761+CZ785+CZ805</f>
        <v>122</v>
      </c>
      <c r="DA810" s="1612"/>
      <c r="DB810" s="1612"/>
      <c r="DC810" s="1612"/>
      <c r="DD810" s="1613"/>
      <c r="DE810" s="1611">
        <f>DE761+DE785+DE805</f>
        <v>0</v>
      </c>
      <c r="DF810" s="1612"/>
      <c r="DG810" s="1612"/>
      <c r="DH810" s="1612"/>
      <c r="DI810" s="1613"/>
      <c r="DJ810" s="1611">
        <f>DJ761+DJ785+DJ805</f>
        <v>0</v>
      </c>
      <c r="DK810" s="1612"/>
      <c r="DL810" s="1612"/>
      <c r="DM810" s="1612"/>
      <c r="DN810" s="1613"/>
      <c r="DO810" s="1468">
        <f>DO805+DO785+DO761</f>
        <v>0</v>
      </c>
      <c r="DP810" s="1469"/>
      <c r="DQ810" s="1469"/>
      <c r="DR810" s="1469"/>
      <c r="DS810" s="1470"/>
      <c r="DT810" s="3"/>
      <c r="DU810" s="857">
        <f>DU763+DU808</f>
        <v>323</v>
      </c>
      <c r="DV810" s="57" t="s">
        <v>1836</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488">
        <v>0</v>
      </c>
      <c r="AA814" s="1489"/>
      <c r="AB814" s="1489"/>
      <c r="AC814" s="1489"/>
      <c r="AD814" s="1489"/>
      <c r="AE814" s="1490"/>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590">
        <v>0</v>
      </c>
      <c r="AA815" s="1489"/>
      <c r="AB815" s="1489"/>
      <c r="AC815" s="1489"/>
      <c r="AD815" s="1489"/>
      <c r="AE815" s="1490"/>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94" t="s">
        <v>590</v>
      </c>
      <c r="AA816" s="1486"/>
      <c r="AB816" s="1486"/>
      <c r="AC816" s="1486"/>
      <c r="AD816" s="1486"/>
      <c r="AE816" s="1487"/>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428">
        <f>'Subsidy Contract Calculation'!J40</f>
        <v>0</v>
      </c>
      <c r="AA817" s="1429"/>
      <c r="AB817" s="1429"/>
      <c r="AC817" s="1429"/>
      <c r="AD817" s="1429"/>
      <c r="AE817" s="1430"/>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32">
        <v>0</v>
      </c>
      <c r="AA821" s="1433"/>
      <c r="AB821" s="1433"/>
      <c r="AC821" s="1433"/>
      <c r="AD821" s="1433"/>
      <c r="AE821" s="1434"/>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32">
        <v>0</v>
      </c>
      <c r="AA822" s="1433"/>
      <c r="AB822" s="1433"/>
      <c r="AC822" s="1433"/>
      <c r="AD822" s="1433"/>
      <c r="AE822" s="1434"/>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32">
        <v>0</v>
      </c>
      <c r="AA823" s="1433"/>
      <c r="AB823" s="1433"/>
      <c r="AC823" s="1433"/>
      <c r="AD823" s="1433"/>
      <c r="AE823" s="1434"/>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281" t="s">
        <v>2710</v>
      </c>
      <c r="Q824" s="1282"/>
      <c r="R824" s="1282"/>
      <c r="S824" s="1282"/>
      <c r="T824" s="1282"/>
      <c r="U824" s="1282"/>
      <c r="V824" s="1282"/>
      <c r="W824" s="1282"/>
      <c r="X824" s="1282"/>
      <c r="Y824" s="1283"/>
      <c r="Z824" s="1432">
        <v>137700</v>
      </c>
      <c r="AA824" s="1433"/>
      <c r="AB824" s="1433"/>
      <c r="AC824" s="1433"/>
      <c r="AD824" s="1433"/>
      <c r="AE824" s="1434"/>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428">
        <f>SUM(Z821:AE824)</f>
        <v>137700</v>
      </c>
      <c r="AA825" s="1429"/>
      <c r="AB825" s="1429"/>
      <c r="AC825" s="1429"/>
      <c r="AD825" s="1429"/>
      <c r="AE825" s="1430"/>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428">
        <f>Z825+Y809+Z817</f>
        <v>4341924</v>
      </c>
      <c r="AA826" s="1429"/>
      <c r="AB826" s="1429"/>
      <c r="AC826" s="1429"/>
      <c r="AD826" s="1429"/>
      <c r="AE826" s="1430"/>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382" t="s">
        <v>126</v>
      </c>
      <c r="N831" s="1382"/>
      <c r="O831" s="1382"/>
      <c r="P831" s="1593"/>
      <c r="Q831" s="1589" t="s">
        <v>290</v>
      </c>
      <c r="R831" s="1589"/>
      <c r="S831" s="1589"/>
      <c r="T831" s="1589"/>
      <c r="U831" s="1589" t="s">
        <v>291</v>
      </c>
      <c r="V831" s="1589"/>
      <c r="W831" s="1589"/>
      <c r="X831" s="1589"/>
      <c r="Y831" s="1589" t="s">
        <v>292</v>
      </c>
      <c r="Z831" s="1589"/>
      <c r="AA831" s="1589"/>
      <c r="AB831" s="1589"/>
      <c r="AC831" s="1589" t="s">
        <v>361</v>
      </c>
      <c r="AD831" s="1589"/>
      <c r="AE831" s="1589"/>
      <c r="AF831" s="1589"/>
      <c r="AG831" s="1587" t="s">
        <v>335</v>
      </c>
      <c r="AH831" s="1587"/>
      <c r="AI831" s="1587"/>
      <c r="AJ831" s="1587"/>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386"/>
      <c r="N832" s="1386"/>
      <c r="O832" s="1386"/>
      <c r="P832" s="1475"/>
      <c r="Q832" s="1589"/>
      <c r="R832" s="1589"/>
      <c r="S832" s="1589"/>
      <c r="T832" s="1589"/>
      <c r="U832" s="1589"/>
      <c r="V832" s="1589"/>
      <c r="W832" s="1589"/>
      <c r="X832" s="1589"/>
      <c r="Y832" s="1589"/>
      <c r="Z832" s="1589"/>
      <c r="AA832" s="1589"/>
      <c r="AB832" s="1589"/>
      <c r="AC832" s="1589"/>
      <c r="AD832" s="1589"/>
      <c r="AE832" s="1589"/>
      <c r="AF832" s="1589"/>
      <c r="AG832" s="1587"/>
      <c r="AH832" s="1587"/>
      <c r="AI832" s="1587"/>
      <c r="AJ832" s="1587"/>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495" t="s">
        <v>40</v>
      </c>
      <c r="D833" s="1376"/>
      <c r="E833" s="1376"/>
      <c r="F833" s="1376"/>
      <c r="G833" s="1376"/>
      <c r="H833" s="1376"/>
      <c r="I833" s="48"/>
      <c r="J833" s="48"/>
      <c r="K833" s="48"/>
      <c r="L833" s="49"/>
      <c r="M833" s="1387">
        <v>7</v>
      </c>
      <c r="N833" s="1387"/>
      <c r="O833" s="1387"/>
      <c r="P833" s="1387"/>
      <c r="Q833" s="1387">
        <v>9</v>
      </c>
      <c r="R833" s="1387"/>
      <c r="S833" s="1387"/>
      <c r="T833" s="1387"/>
      <c r="U833" s="1387">
        <v>12</v>
      </c>
      <c r="V833" s="1387"/>
      <c r="W833" s="1387"/>
      <c r="X833" s="1387"/>
      <c r="Y833" s="1387"/>
      <c r="Z833" s="1387"/>
      <c r="AA833" s="1387"/>
      <c r="AB833" s="1387"/>
      <c r="AC833" s="1453"/>
      <c r="AD833" s="1454"/>
      <c r="AE833" s="1454"/>
      <c r="AF833" s="1455"/>
      <c r="AG833" s="1453"/>
      <c r="AH833" s="1454"/>
      <c r="AI833" s="1454"/>
      <c r="AJ833" s="1455"/>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588" t="s">
        <v>41</v>
      </c>
      <c r="D834" s="1560"/>
      <c r="E834" s="1560"/>
      <c r="F834" s="1560"/>
      <c r="G834" s="1560"/>
      <c r="H834" s="1560"/>
      <c r="I834" s="5"/>
      <c r="J834" s="5"/>
      <c r="K834" s="5"/>
      <c r="L834" s="46"/>
      <c r="M834" s="1387"/>
      <c r="N834" s="1387"/>
      <c r="O834" s="1387"/>
      <c r="P834" s="1387"/>
      <c r="Q834" s="1387"/>
      <c r="R834" s="1387"/>
      <c r="S834" s="1387"/>
      <c r="T834" s="1387"/>
      <c r="U834" s="1387"/>
      <c r="V834" s="1387"/>
      <c r="W834" s="1387"/>
      <c r="X834" s="1387"/>
      <c r="Y834" s="1387"/>
      <c r="Z834" s="1387"/>
      <c r="AA834" s="1387"/>
      <c r="AB834" s="1387"/>
      <c r="AC834" s="1453"/>
      <c r="AD834" s="1454"/>
      <c r="AE834" s="1454"/>
      <c r="AF834" s="1455"/>
      <c r="AG834" s="1453"/>
      <c r="AH834" s="1454"/>
      <c r="AI834" s="1454"/>
      <c r="AJ834" s="1455"/>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588" t="s">
        <v>42</v>
      </c>
      <c r="D835" s="1560"/>
      <c r="E835" s="1560"/>
      <c r="F835" s="1560"/>
      <c r="G835" s="1560"/>
      <c r="H835" s="1560"/>
      <c r="I835" s="60"/>
      <c r="J835" s="60"/>
      <c r="K835" s="60"/>
      <c r="L835" s="61"/>
      <c r="M835" s="1387">
        <v>3</v>
      </c>
      <c r="N835" s="1387"/>
      <c r="O835" s="1387"/>
      <c r="P835" s="1387"/>
      <c r="Q835" s="1387">
        <v>4</v>
      </c>
      <c r="R835" s="1387"/>
      <c r="S835" s="1387"/>
      <c r="T835" s="1387"/>
      <c r="U835" s="1387">
        <v>6</v>
      </c>
      <c r="V835" s="1387"/>
      <c r="W835" s="1387"/>
      <c r="X835" s="1387"/>
      <c r="Y835" s="1387"/>
      <c r="Z835" s="1387"/>
      <c r="AA835" s="1387"/>
      <c r="AB835" s="1387"/>
      <c r="AC835" s="1453"/>
      <c r="AD835" s="1454"/>
      <c r="AE835" s="1454"/>
      <c r="AF835" s="1455"/>
      <c r="AG835" s="1453"/>
      <c r="AH835" s="1454"/>
      <c r="AI835" s="1454"/>
      <c r="AJ835" s="1455"/>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588" t="s">
        <v>761</v>
      </c>
      <c r="D836" s="1560"/>
      <c r="E836" s="1560"/>
      <c r="F836" s="1560"/>
      <c r="G836" s="1560"/>
      <c r="H836" s="1560"/>
      <c r="I836" s="60"/>
      <c r="J836" s="60"/>
      <c r="K836" s="60"/>
      <c r="L836" s="61"/>
      <c r="M836" s="1387"/>
      <c r="N836" s="1387"/>
      <c r="O836" s="1387"/>
      <c r="P836" s="1387"/>
      <c r="Q836" s="1387"/>
      <c r="R836" s="1387"/>
      <c r="S836" s="1387"/>
      <c r="T836" s="1387"/>
      <c r="U836" s="1387"/>
      <c r="V836" s="1387"/>
      <c r="W836" s="1387"/>
      <c r="X836" s="1387"/>
      <c r="Y836" s="1387"/>
      <c r="Z836" s="1387"/>
      <c r="AA836" s="1387"/>
      <c r="AB836" s="1387"/>
      <c r="AC836" s="1453"/>
      <c r="AD836" s="1454"/>
      <c r="AE836" s="1454"/>
      <c r="AF836" s="1455"/>
      <c r="AG836" s="1453"/>
      <c r="AH836" s="1454"/>
      <c r="AI836" s="1454"/>
      <c r="AJ836" s="1455"/>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588" t="s">
        <v>458</v>
      </c>
      <c r="D837" s="1560"/>
      <c r="E837" s="1560"/>
      <c r="F837" s="1560"/>
      <c r="G837" s="1560"/>
      <c r="H837" s="1560"/>
      <c r="I837" s="60"/>
      <c r="J837" s="60"/>
      <c r="K837" s="60"/>
      <c r="L837" s="61"/>
      <c r="M837" s="1387">
        <v>17</v>
      </c>
      <c r="N837" s="1387"/>
      <c r="O837" s="1387"/>
      <c r="P837" s="1387"/>
      <c r="Q837" s="1387">
        <v>24</v>
      </c>
      <c r="R837" s="1387"/>
      <c r="S837" s="1387"/>
      <c r="T837" s="1387"/>
      <c r="U837" s="1387">
        <v>30</v>
      </c>
      <c r="V837" s="1387"/>
      <c r="W837" s="1387"/>
      <c r="X837" s="1387"/>
      <c r="Y837" s="1387"/>
      <c r="Z837" s="1387"/>
      <c r="AA837" s="1387"/>
      <c r="AB837" s="1387"/>
      <c r="AC837" s="1453"/>
      <c r="AD837" s="1454"/>
      <c r="AE837" s="1454"/>
      <c r="AF837" s="1455"/>
      <c r="AG837" s="1453"/>
      <c r="AH837" s="1454"/>
      <c r="AI837" s="1454"/>
      <c r="AJ837" s="1455"/>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559" t="s">
        <v>782</v>
      </c>
      <c r="D838" s="1560"/>
      <c r="E838" s="1560"/>
      <c r="F838" s="1560"/>
      <c r="G838" s="1560"/>
      <c r="H838" s="1560"/>
      <c r="I838" s="60"/>
      <c r="J838" s="60"/>
      <c r="K838" s="60"/>
      <c r="L838" s="61"/>
      <c r="M838" s="1387"/>
      <c r="N838" s="1387"/>
      <c r="O838" s="1387"/>
      <c r="P838" s="1387"/>
      <c r="Q838" s="1387"/>
      <c r="R838" s="1387"/>
      <c r="S838" s="1387"/>
      <c r="T838" s="1387"/>
      <c r="U838" s="1387"/>
      <c r="V838" s="1387"/>
      <c r="W838" s="1387"/>
      <c r="X838" s="1387"/>
      <c r="Y838" s="1387"/>
      <c r="Z838" s="1387"/>
      <c r="AA838" s="1387"/>
      <c r="AB838" s="1387"/>
      <c r="AC838" s="1453"/>
      <c r="AD838" s="1454"/>
      <c r="AE838" s="1454"/>
      <c r="AF838" s="1455"/>
      <c r="AG838" s="1453"/>
      <c r="AH838" s="1454"/>
      <c r="AI838" s="1454"/>
      <c r="AJ838" s="1455"/>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281" t="s">
        <v>2670</v>
      </c>
      <c r="G839" s="1282"/>
      <c r="H839" s="1282"/>
      <c r="I839" s="1282"/>
      <c r="J839" s="1282"/>
      <c r="K839" s="1282"/>
      <c r="L839" s="1282"/>
      <c r="M839" s="1387">
        <v>8</v>
      </c>
      <c r="N839" s="1387"/>
      <c r="O839" s="1387"/>
      <c r="P839" s="1387"/>
      <c r="Q839" s="1387">
        <v>11</v>
      </c>
      <c r="R839" s="1387"/>
      <c r="S839" s="1387"/>
      <c r="T839" s="1387"/>
      <c r="U839" s="1387">
        <v>14</v>
      </c>
      <c r="V839" s="1387"/>
      <c r="W839" s="1387"/>
      <c r="X839" s="1387"/>
      <c r="Y839" s="1387"/>
      <c r="Z839" s="1387"/>
      <c r="AA839" s="1387"/>
      <c r="AB839" s="1387"/>
      <c r="AC839" s="1453"/>
      <c r="AD839" s="1454"/>
      <c r="AE839" s="1454"/>
      <c r="AF839" s="1455"/>
      <c r="AG839" s="1453"/>
      <c r="AH839" s="1454"/>
      <c r="AI839" s="1454"/>
      <c r="AJ839" s="1455"/>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388" t="s">
        <v>124</v>
      </c>
      <c r="D840" s="1389"/>
      <c r="E840" s="1389"/>
      <c r="F840" s="1389"/>
      <c r="G840" s="1389"/>
      <c r="H840" s="1389"/>
      <c r="I840" s="1389"/>
      <c r="J840" s="1389"/>
      <c r="K840" s="1389"/>
      <c r="L840" s="1390"/>
      <c r="M840" s="1570">
        <f>SUM(M833:P839)</f>
        <v>35</v>
      </c>
      <c r="N840" s="1570"/>
      <c r="O840" s="1570"/>
      <c r="P840" s="1570"/>
      <c r="Q840" s="1570">
        <f>SUM(Q833:T839)</f>
        <v>48</v>
      </c>
      <c r="R840" s="1570"/>
      <c r="S840" s="1570"/>
      <c r="T840" s="1570"/>
      <c r="U840" s="1570">
        <f>SUM(U833:X839)</f>
        <v>62</v>
      </c>
      <c r="V840" s="1570"/>
      <c r="W840" s="1570"/>
      <c r="X840" s="1570"/>
      <c r="Y840" s="1570">
        <f>SUM(Y833:AB839)</f>
        <v>0</v>
      </c>
      <c r="Z840" s="1570"/>
      <c r="AA840" s="1570"/>
      <c r="AB840" s="1570"/>
      <c r="AC840" s="1570">
        <f>SUM(AC833:AF839)</f>
        <v>0</v>
      </c>
      <c r="AD840" s="1570"/>
      <c r="AE840" s="1570"/>
      <c r="AF840" s="1570"/>
      <c r="AG840" s="1570">
        <f>SUM(AG833:AJ839)</f>
        <v>0</v>
      </c>
      <c r="AH840" s="1570"/>
      <c r="AI840" s="1570"/>
      <c r="AJ840" s="1570"/>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581" t="s">
        <v>2657</v>
      </c>
      <c r="D845" s="1582"/>
      <c r="E845" s="1582"/>
      <c r="F845" s="1582"/>
      <c r="G845" s="1582"/>
      <c r="H845" s="1582"/>
      <c r="I845" s="1582"/>
      <c r="J845" s="1582"/>
      <c r="K845" s="1582"/>
      <c r="L845" s="1582"/>
      <c r="M845" s="1582"/>
      <c r="N845" s="1582"/>
      <c r="O845" s="1582"/>
      <c r="P845" s="1582"/>
      <c r="Q845" s="1582"/>
      <c r="R845" s="1582"/>
      <c r="S845" s="1582"/>
      <c r="T845" s="1582"/>
      <c r="U845" s="1582"/>
      <c r="V845" s="1582"/>
      <c r="W845" s="1582"/>
      <c r="X845" s="1582"/>
      <c r="Y845" s="1582"/>
      <c r="Z845" s="1582"/>
      <c r="AA845" s="1582"/>
      <c r="AB845" s="1582"/>
      <c r="AC845" s="1582"/>
      <c r="AD845" s="1582"/>
      <c r="AE845" s="1582"/>
      <c r="AF845" s="1582"/>
      <c r="AG845" s="1582"/>
      <c r="AH845" s="1582"/>
      <c r="AI845" s="1582"/>
      <c r="AJ845" s="1583"/>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1156</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09"/>
      <c r="BJ849" s="1609"/>
      <c r="BK849" s="1609"/>
      <c r="BL849" s="1609"/>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284">
        <v>13558</v>
      </c>
      <c r="X850" s="1284"/>
      <c r="Y850" s="1284"/>
      <c r="Z850" s="1284"/>
      <c r="AA850" s="1284"/>
      <c r="AB850" s="1284"/>
      <c r="AC850" s="1284"/>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284">
        <v>53122</v>
      </c>
      <c r="X851" s="1284"/>
      <c r="Y851" s="1284"/>
      <c r="Z851" s="1284"/>
      <c r="AA851" s="1284"/>
      <c r="AB851" s="1284"/>
      <c r="AC851" s="1284"/>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284">
        <v>44145</v>
      </c>
      <c r="X852" s="1284"/>
      <c r="Y852" s="1284"/>
      <c r="Z852" s="1284"/>
      <c r="AA852" s="1284"/>
      <c r="AB852" s="1284"/>
      <c r="AC852" s="1284"/>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284">
        <v>57661</v>
      </c>
      <c r="X853" s="1284"/>
      <c r="Y853" s="1284"/>
      <c r="Z853" s="1284"/>
      <c r="AA853" s="1284"/>
      <c r="AB853" s="1284"/>
      <c r="AC853" s="1284"/>
      <c r="AZ853" s="30"/>
      <c r="BA853" s="30"/>
      <c r="BB853" s="14"/>
      <c r="BC853" s="14"/>
      <c r="BD853" s="14"/>
      <c r="BE853" s="14"/>
      <c r="BF853" s="14"/>
      <c r="BG853" s="14"/>
      <c r="BH853" s="14"/>
      <c r="BI853" s="14"/>
      <c r="BJ853" s="14"/>
      <c r="BK853" s="14"/>
      <c r="BL853" s="14"/>
    </row>
    <row r="854" spans="1:64" ht="12.95" customHeight="1">
      <c r="J854" s="45" t="s">
        <v>170</v>
      </c>
      <c r="K854" s="5"/>
      <c r="L854" s="5"/>
      <c r="M854" s="1281" t="s">
        <v>2686</v>
      </c>
      <c r="N854" s="1282"/>
      <c r="O854" s="1282"/>
      <c r="P854" s="1282"/>
      <c r="Q854" s="1282"/>
      <c r="R854" s="1282"/>
      <c r="S854" s="1282"/>
      <c r="T854" s="1282"/>
      <c r="U854" s="1282"/>
      <c r="V854" s="1283"/>
      <c r="W854" s="1284">
        <v>68125</v>
      </c>
      <c r="X854" s="1284"/>
      <c r="Y854" s="1284"/>
      <c r="Z854" s="1284"/>
      <c r="AA854" s="1284"/>
      <c r="AB854" s="1284"/>
      <c r="AC854" s="1284"/>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428">
        <f>SUM(W850:W854)</f>
        <v>236611</v>
      </c>
      <c r="X855" s="1429"/>
      <c r="Y855" s="1429"/>
      <c r="Z855" s="1429"/>
      <c r="AA855" s="1429"/>
      <c r="AB855" s="1429"/>
      <c r="AC855" s="1430"/>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591"/>
      <c r="BH856" s="1591"/>
      <c r="BI856" s="1591"/>
      <c r="BJ856" s="1591"/>
      <c r="BK856" s="1591"/>
      <c r="BL856" s="1591"/>
    </row>
    <row r="857" spans="1:64" ht="12.95" customHeight="1">
      <c r="C857" s="2" t="s">
        <v>344</v>
      </c>
      <c r="J857" s="1388" t="s">
        <v>345</v>
      </c>
      <c r="K857" s="1389"/>
      <c r="L857" s="1389"/>
      <c r="M857" s="1389"/>
      <c r="N857" s="1389"/>
      <c r="O857" s="1389"/>
      <c r="P857" s="1389"/>
      <c r="Q857" s="1389"/>
      <c r="R857" s="1389"/>
      <c r="S857" s="1389"/>
      <c r="T857" s="1389"/>
      <c r="U857" s="1389"/>
      <c r="V857" s="1390"/>
      <c r="W857" s="1432">
        <v>189372</v>
      </c>
      <c r="X857" s="1433"/>
      <c r="Y857" s="1433"/>
      <c r="Z857" s="1433"/>
      <c r="AA857" s="1433"/>
      <c r="AB857" s="1433"/>
      <c r="AC857" s="1434"/>
      <c r="AD857" s="533"/>
      <c r="AZ857" s="30"/>
      <c r="BA857" s="30"/>
      <c r="BB857" s="14"/>
      <c r="BC857" s="14"/>
    </row>
    <row r="858" spans="1:64" ht="12.95" customHeight="1">
      <c r="AD858" s="533"/>
      <c r="AZ858" s="30"/>
      <c r="BA858" s="30"/>
      <c r="BB858" s="14"/>
      <c r="BC858" s="14"/>
    </row>
    <row r="859" spans="1:64" ht="12.95" customHeight="1">
      <c r="C859" s="2" t="s">
        <v>560</v>
      </c>
      <c r="J859" s="45" t="s">
        <v>352</v>
      </c>
      <c r="K859" s="5"/>
      <c r="L859" s="5"/>
      <c r="M859" s="5"/>
      <c r="N859" s="5"/>
      <c r="O859" s="5"/>
      <c r="P859" s="5"/>
      <c r="Q859" s="5"/>
      <c r="R859" s="5"/>
      <c r="S859" s="5"/>
      <c r="T859" s="5"/>
      <c r="U859" s="5"/>
      <c r="V859" s="46"/>
      <c r="W859" s="1569">
        <v>0</v>
      </c>
      <c r="X859" s="1569"/>
      <c r="Y859" s="1569"/>
      <c r="Z859" s="1569"/>
      <c r="AA859" s="1569"/>
      <c r="AB859" s="1569"/>
      <c r="AC859" s="1569"/>
      <c r="AZ859" s="1674"/>
      <c r="BA859" s="1674"/>
      <c r="BB859" s="14"/>
      <c r="BC859" s="14"/>
    </row>
    <row r="860" spans="1:64" ht="12.95" customHeight="1">
      <c r="J860" s="45" t="s">
        <v>351</v>
      </c>
      <c r="K860" s="5"/>
      <c r="L860" s="5"/>
      <c r="M860" s="5"/>
      <c r="N860" s="5"/>
      <c r="O860" s="5"/>
      <c r="P860" s="5"/>
      <c r="Q860" s="5"/>
      <c r="R860" s="5"/>
      <c r="S860" s="5"/>
      <c r="T860" s="5"/>
      <c r="U860" s="5"/>
      <c r="V860" s="46"/>
      <c r="W860" s="1569">
        <v>47799</v>
      </c>
      <c r="X860" s="1569"/>
      <c r="Y860" s="1569"/>
      <c r="Z860" s="1569"/>
      <c r="AA860" s="1569"/>
      <c r="AB860" s="1569"/>
      <c r="AC860" s="1569"/>
      <c r="AZ860" s="30"/>
      <c r="BA860" s="30"/>
      <c r="BB860" s="14"/>
      <c r="BC860" s="14"/>
    </row>
    <row r="861" spans="1:64" ht="12.95" customHeight="1">
      <c r="J861" s="45" t="s">
        <v>458</v>
      </c>
      <c r="K861" s="5"/>
      <c r="L861" s="5"/>
      <c r="M861" s="5"/>
      <c r="N861" s="5"/>
      <c r="O861" s="5"/>
      <c r="P861" s="5"/>
      <c r="Q861" s="5"/>
      <c r="R861" s="5"/>
      <c r="S861" s="5"/>
      <c r="T861" s="5"/>
      <c r="U861" s="5"/>
      <c r="V861" s="46"/>
      <c r="W861" s="1569">
        <v>84887</v>
      </c>
      <c r="X861" s="1569"/>
      <c r="Y861" s="1569"/>
      <c r="Z861" s="1569"/>
      <c r="AA861" s="1569"/>
      <c r="AB861" s="1569"/>
      <c r="AC861" s="1569"/>
      <c r="AZ861" s="30"/>
      <c r="BA861" s="30"/>
      <c r="BB861" s="14"/>
      <c r="BC861" s="14"/>
    </row>
    <row r="862" spans="1:64" ht="12.95" customHeight="1">
      <c r="J862" s="62" t="s">
        <v>619</v>
      </c>
      <c r="K862" s="5"/>
      <c r="L862" s="5"/>
      <c r="M862" s="5"/>
      <c r="N862" s="5"/>
      <c r="O862" s="5"/>
      <c r="P862" s="5"/>
      <c r="Q862" s="5"/>
      <c r="R862" s="5"/>
      <c r="S862" s="5"/>
      <c r="T862" s="5"/>
      <c r="U862" s="5"/>
      <c r="V862" s="46"/>
      <c r="W862" s="1569">
        <v>91284</v>
      </c>
      <c r="X862" s="1569"/>
      <c r="Y862" s="1569"/>
      <c r="Z862" s="1569"/>
      <c r="AA862" s="1569"/>
      <c r="AB862" s="1569"/>
      <c r="AC862" s="1569"/>
      <c r="AZ862" s="34"/>
      <c r="BA862" s="34"/>
      <c r="BB862" s="34"/>
      <c r="BC862" s="34"/>
    </row>
    <row r="863" spans="1:64" ht="12.95" customHeight="1">
      <c r="J863" s="63"/>
      <c r="K863" s="48"/>
      <c r="L863" s="48"/>
      <c r="M863" s="48"/>
      <c r="N863" s="48"/>
      <c r="O863" s="48"/>
      <c r="P863" s="48"/>
      <c r="Q863" s="48"/>
      <c r="R863" s="48"/>
      <c r="S863" s="48"/>
      <c r="T863" s="48"/>
      <c r="U863" s="48"/>
      <c r="V863" s="54" t="s">
        <v>272</v>
      </c>
      <c r="W863" s="1679">
        <f>SUM(W859:W862)</f>
        <v>223970</v>
      </c>
      <c r="X863" s="1679"/>
      <c r="Y863" s="1679"/>
      <c r="Z863" s="1679"/>
      <c r="AA863" s="1679"/>
      <c r="AB863" s="1679"/>
      <c r="AC863" s="1679"/>
      <c r="AZ863" s="34"/>
      <c r="BA863" s="34"/>
      <c r="BB863" s="34"/>
      <c r="BC863" s="34"/>
    </row>
    <row r="864" spans="1:64" ht="12.95" customHeight="1">
      <c r="AZ864" s="34"/>
      <c r="BA864" s="34"/>
      <c r="BB864" s="34"/>
      <c r="BC864" s="34"/>
    </row>
    <row r="865" spans="3:55" ht="12.95" customHeight="1">
      <c r="C865" s="2" t="s">
        <v>346</v>
      </c>
      <c r="J865" s="45" t="s">
        <v>618</v>
      </c>
      <c r="K865" s="5"/>
      <c r="L865" s="5"/>
      <c r="M865" s="5"/>
      <c r="N865" s="5"/>
      <c r="O865" s="5"/>
      <c r="P865" s="5"/>
      <c r="Q865" s="5"/>
      <c r="R865" s="5"/>
      <c r="S865" s="5"/>
      <c r="T865" s="5"/>
      <c r="U865" s="5"/>
      <c r="V865" s="46"/>
      <c r="W865" s="1553">
        <v>158509</v>
      </c>
      <c r="X865" s="1554"/>
      <c r="Y865" s="1554"/>
      <c r="Z865" s="1554"/>
      <c r="AA865" s="1554"/>
      <c r="AB865" s="1554"/>
      <c r="AC865" s="1555"/>
      <c r="AD865" s="528"/>
      <c r="AZ865" s="34"/>
      <c r="BA865" s="34"/>
      <c r="BB865" s="34"/>
      <c r="BC865" s="34"/>
    </row>
    <row r="866" spans="3:55" ht="12.95" customHeight="1">
      <c r="C866" s="2" t="s">
        <v>347</v>
      </c>
      <c r="J866" s="121" t="s">
        <v>1643</v>
      </c>
      <c r="K866" s="5"/>
      <c r="L866" s="5"/>
      <c r="M866" s="5"/>
      <c r="N866" s="5"/>
      <c r="O866" s="5"/>
      <c r="P866" s="5"/>
      <c r="Q866" s="5"/>
      <c r="R866" s="5"/>
      <c r="S866" s="5"/>
      <c r="T866" s="1675">
        <v>2</v>
      </c>
      <c r="U866" s="1620"/>
      <c r="V866" s="1676"/>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553">
        <v>132229</v>
      </c>
      <c r="X867" s="1554"/>
      <c r="Y867" s="1554"/>
      <c r="Z867" s="1554"/>
      <c r="AA867" s="1554"/>
      <c r="AB867" s="1554"/>
      <c r="AC867" s="1555"/>
      <c r="AD867" s="533"/>
      <c r="AZ867" s="34"/>
      <c r="BA867" s="34"/>
      <c r="BB867" s="34"/>
      <c r="BC867" s="34"/>
    </row>
    <row r="868" spans="3:55" ht="12.95" customHeight="1">
      <c r="C868" s="2"/>
      <c r="J868" s="121" t="s">
        <v>1644</v>
      </c>
      <c r="K868" s="5"/>
      <c r="L868" s="5"/>
      <c r="M868" s="5"/>
      <c r="N868" s="5"/>
      <c r="O868" s="5"/>
      <c r="P868" s="5"/>
      <c r="Q868" s="5"/>
      <c r="R868" s="5"/>
      <c r="S868" s="5"/>
      <c r="T868" s="1675">
        <v>2</v>
      </c>
      <c r="U868" s="1620"/>
      <c r="V868" s="1676"/>
      <c r="W868" s="870"/>
      <c r="X868" s="871"/>
      <c r="Y868" s="871"/>
      <c r="Z868" s="871"/>
      <c r="AA868" s="871"/>
      <c r="AB868" s="871"/>
      <c r="AC868" s="872"/>
      <c r="AD868" s="533"/>
      <c r="AZ868" s="34"/>
      <c r="BA868" s="34"/>
      <c r="BB868" s="34"/>
      <c r="BC868" s="34"/>
    </row>
    <row r="869" spans="3:55" ht="12.95" customHeight="1">
      <c r="J869" s="45" t="s">
        <v>170</v>
      </c>
      <c r="K869" s="5"/>
      <c r="L869" s="5"/>
      <c r="M869" s="1281" t="s">
        <v>2687</v>
      </c>
      <c r="N869" s="1282"/>
      <c r="O869" s="1282"/>
      <c r="P869" s="1282"/>
      <c r="Q869" s="1282"/>
      <c r="R869" s="1282"/>
      <c r="S869" s="1282"/>
      <c r="T869" s="1282"/>
      <c r="U869" s="1282"/>
      <c r="V869" s="1283"/>
      <c r="W869" s="1553">
        <f>72090+17082</f>
        <v>89172</v>
      </c>
      <c r="X869" s="1554"/>
      <c r="Y869" s="1554"/>
      <c r="Z869" s="1554"/>
      <c r="AA869" s="1554"/>
      <c r="AB869" s="1554"/>
      <c r="AC869" s="1555"/>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578">
        <f>SUM(W865:W869)</f>
        <v>379910</v>
      </c>
      <c r="X870" s="1579"/>
      <c r="Y870" s="1579"/>
      <c r="Z870" s="1579"/>
      <c r="AA870" s="1579"/>
      <c r="AB870" s="1579"/>
      <c r="AC870" s="1580"/>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553">
        <v>142265</v>
      </c>
      <c r="X872" s="1554"/>
      <c r="Y872" s="1554"/>
      <c r="Z872" s="1554"/>
      <c r="AA872" s="1554"/>
      <c r="AB872" s="1554"/>
      <c r="AC872" s="1555"/>
      <c r="AU872" s="14"/>
      <c r="AZ872" s="34"/>
      <c r="BA872" s="34"/>
      <c r="BB872" s="34"/>
      <c r="BC872" s="34"/>
    </row>
    <row r="873" spans="3:55" ht="12.95" customHeight="1">
      <c r="J873" s="512"/>
      <c r="AU873" s="14"/>
      <c r="AZ873" s="34"/>
      <c r="BA873" s="34"/>
      <c r="BB873" s="34"/>
      <c r="BC873" s="34"/>
    </row>
    <row r="874" spans="3:55" ht="12.95" customHeight="1">
      <c r="C874" s="2" t="s">
        <v>390</v>
      </c>
      <c r="J874" s="45" t="s">
        <v>616</v>
      </c>
      <c r="K874" s="5"/>
      <c r="L874" s="5"/>
      <c r="M874" s="5"/>
      <c r="N874" s="5"/>
      <c r="O874" s="5"/>
      <c r="P874" s="5"/>
      <c r="Q874" s="5"/>
      <c r="R874" s="5"/>
      <c r="S874" s="5"/>
      <c r="T874" s="5"/>
      <c r="U874" s="5"/>
      <c r="V874" s="46"/>
      <c r="W874" s="1284">
        <v>12606</v>
      </c>
      <c r="X874" s="1284"/>
      <c r="Y874" s="1284"/>
      <c r="Z874" s="1284"/>
      <c r="AA874" s="1284"/>
      <c r="AB874" s="1284"/>
      <c r="AC874" s="1284"/>
      <c r="AU874" s="14"/>
      <c r="AZ874" s="34"/>
      <c r="BA874" s="34"/>
      <c r="BB874" s="34"/>
      <c r="BC874" s="34"/>
    </row>
    <row r="875" spans="3:55" ht="12.95" customHeight="1">
      <c r="J875" s="45" t="s">
        <v>521</v>
      </c>
      <c r="K875" s="5"/>
      <c r="L875" s="5"/>
      <c r="M875" s="5"/>
      <c r="N875" s="5"/>
      <c r="O875" s="5"/>
      <c r="P875" s="5"/>
      <c r="Q875" s="5"/>
      <c r="R875" s="5"/>
      <c r="S875" s="5"/>
      <c r="T875" s="5"/>
      <c r="U875" s="5"/>
      <c r="V875" s="46"/>
      <c r="W875" s="1284">
        <v>37353</v>
      </c>
      <c r="X875" s="1284"/>
      <c r="Y875" s="1284"/>
      <c r="Z875" s="1284"/>
      <c r="AA875" s="1284"/>
      <c r="AB875" s="1284"/>
      <c r="AC875" s="1284"/>
      <c r="AU875" s="4"/>
      <c r="AZ875" s="34"/>
      <c r="BA875" s="34"/>
      <c r="BB875" s="34"/>
      <c r="BC875" s="34"/>
    </row>
    <row r="876" spans="3:55" ht="12.95" customHeight="1">
      <c r="J876" s="45" t="s">
        <v>520</v>
      </c>
      <c r="K876" s="5"/>
      <c r="L876" s="5"/>
      <c r="M876" s="5"/>
      <c r="N876" s="5"/>
      <c r="O876" s="5"/>
      <c r="P876" s="5"/>
      <c r="Q876" s="5"/>
      <c r="R876" s="5"/>
      <c r="S876" s="5"/>
      <c r="T876" s="5"/>
      <c r="U876" s="5"/>
      <c r="V876" s="46"/>
      <c r="W876" s="1284">
        <v>35492</v>
      </c>
      <c r="X876" s="1284"/>
      <c r="Y876" s="1284"/>
      <c r="Z876" s="1284"/>
      <c r="AA876" s="1284"/>
      <c r="AB876" s="1284"/>
      <c r="AC876" s="1284"/>
      <c r="AU876" s="4"/>
      <c r="AZ876" s="34"/>
      <c r="BA876" s="34"/>
      <c r="BB876" s="34"/>
      <c r="BC876" s="34"/>
    </row>
    <row r="877" spans="3:55" ht="12.95" customHeight="1">
      <c r="J877" s="45" t="s">
        <v>519</v>
      </c>
      <c r="K877" s="5"/>
      <c r="L877" s="5"/>
      <c r="M877" s="5"/>
      <c r="N877" s="5"/>
      <c r="O877" s="5"/>
      <c r="P877" s="5"/>
      <c r="Q877" s="5"/>
      <c r="R877" s="5"/>
      <c r="S877" s="5"/>
      <c r="T877" s="5"/>
      <c r="U877" s="5"/>
      <c r="V877" s="46"/>
      <c r="W877" s="1284">
        <v>16497</v>
      </c>
      <c r="X877" s="1284"/>
      <c r="Y877" s="1284"/>
      <c r="Z877" s="1284"/>
      <c r="AA877" s="1284"/>
      <c r="AB877" s="1284"/>
      <c r="AC877" s="1284"/>
      <c r="AU877" s="4"/>
      <c r="AZ877" s="34"/>
      <c r="BA877" s="34"/>
      <c r="BB877" s="34"/>
      <c r="BC877" s="34"/>
    </row>
    <row r="878" spans="3:55" ht="12.95" customHeight="1">
      <c r="J878" s="45" t="s">
        <v>518</v>
      </c>
      <c r="K878" s="5"/>
      <c r="L878" s="5"/>
      <c r="M878" s="5"/>
      <c r="N878" s="5"/>
      <c r="O878" s="5"/>
      <c r="P878" s="5"/>
      <c r="Q878" s="5"/>
      <c r="R878" s="5"/>
      <c r="S878" s="5"/>
      <c r="T878" s="5"/>
      <c r="U878" s="5"/>
      <c r="V878" s="46"/>
      <c r="W878" s="1284">
        <v>59966</v>
      </c>
      <c r="X878" s="1284"/>
      <c r="Y878" s="1284"/>
      <c r="Z878" s="1284"/>
      <c r="AA878" s="1284"/>
      <c r="AB878" s="1284"/>
      <c r="AC878" s="1284"/>
      <c r="AU878" s="4"/>
      <c r="AZ878" s="34"/>
      <c r="BA878" s="34"/>
      <c r="BB878" s="34"/>
      <c r="BC878" s="34"/>
    </row>
    <row r="879" spans="3:55" ht="12.95" customHeight="1">
      <c r="J879" s="45" t="s">
        <v>517</v>
      </c>
      <c r="K879" s="5"/>
      <c r="L879" s="5"/>
      <c r="M879" s="5"/>
      <c r="N879" s="5"/>
      <c r="O879" s="5"/>
      <c r="P879" s="5"/>
      <c r="Q879" s="5"/>
      <c r="R879" s="5"/>
      <c r="S879" s="5"/>
      <c r="T879" s="5"/>
      <c r="U879" s="5"/>
      <c r="V879" s="46"/>
      <c r="W879" s="1284">
        <f>6049+11007</f>
        <v>17056</v>
      </c>
      <c r="X879" s="1284"/>
      <c r="Y879" s="1284"/>
      <c r="Z879" s="1284"/>
      <c r="AA879" s="1284"/>
      <c r="AB879" s="1284"/>
      <c r="AC879" s="1284"/>
      <c r="AU879" s="4"/>
      <c r="AZ879" s="34"/>
      <c r="BA879" s="34"/>
      <c r="BB879" s="34"/>
      <c r="BC879" s="34"/>
    </row>
    <row r="880" spans="3:55" ht="12.95" customHeight="1">
      <c r="J880" s="45" t="s">
        <v>170</v>
      </c>
      <c r="K880" s="5"/>
      <c r="L880" s="5"/>
      <c r="M880" s="1281" t="s">
        <v>2688</v>
      </c>
      <c r="N880" s="1282"/>
      <c r="O880" s="1282"/>
      <c r="P880" s="1282"/>
      <c r="Q880" s="1282"/>
      <c r="R880" s="1282"/>
      <c r="S880" s="1282"/>
      <c r="T880" s="1282"/>
      <c r="U880" s="1282"/>
      <c r="V880" s="1283"/>
      <c r="W880" s="1284">
        <f>42305-3</f>
        <v>42302</v>
      </c>
      <c r="X880" s="1284"/>
      <c r="Y880" s="1284"/>
      <c r="Z880" s="1284"/>
      <c r="AA880" s="1284"/>
      <c r="AB880" s="1284"/>
      <c r="AC880" s="1284"/>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285">
        <f>SUM(W874:W880)</f>
        <v>221272</v>
      </c>
      <c r="X881" s="1285"/>
      <c r="Y881" s="1285"/>
      <c r="Z881" s="1285"/>
      <c r="AA881" s="1285"/>
      <c r="AB881" s="1285"/>
      <c r="AC881" s="1285"/>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1242</v>
      </c>
      <c r="J883" s="45" t="s">
        <v>170</v>
      </c>
      <c r="K883" s="5"/>
      <c r="L883" s="5"/>
      <c r="M883" s="1281" t="s">
        <v>334</v>
      </c>
      <c r="N883" s="1282"/>
      <c r="O883" s="1282"/>
      <c r="P883" s="1282"/>
      <c r="Q883" s="1282"/>
      <c r="R883" s="1282"/>
      <c r="S883" s="1282"/>
      <c r="T883" s="1282"/>
      <c r="U883" s="1282"/>
      <c r="V883" s="1283"/>
      <c r="W883" s="1432"/>
      <c r="X883" s="1433"/>
      <c r="Y883" s="1433"/>
      <c r="Z883" s="1433"/>
      <c r="AA883" s="1433"/>
      <c r="AB883" s="1433"/>
      <c r="AC883" s="1434"/>
      <c r="AD883" s="533"/>
      <c r="AV883" s="14"/>
      <c r="AW883" s="14"/>
      <c r="AX883" s="14"/>
      <c r="AY883" s="14"/>
      <c r="AZ883" s="34"/>
      <c r="BA883" s="34"/>
      <c r="BB883" s="34"/>
      <c r="BC883" s="34"/>
    </row>
    <row r="884" spans="3:55" ht="12.95" customHeight="1">
      <c r="C884" s="2" t="s">
        <v>1243</v>
      </c>
      <c r="J884" s="45" t="s">
        <v>170</v>
      </c>
      <c r="K884" s="5"/>
      <c r="L884" s="5"/>
      <c r="M884" s="1281" t="s">
        <v>334</v>
      </c>
      <c r="N884" s="1282"/>
      <c r="O884" s="1282"/>
      <c r="P884" s="1282"/>
      <c r="Q884" s="1282"/>
      <c r="R884" s="1282"/>
      <c r="S884" s="1282"/>
      <c r="T884" s="1282"/>
      <c r="U884" s="1282"/>
      <c r="V884" s="1283"/>
      <c r="W884" s="1432"/>
      <c r="X884" s="1433"/>
      <c r="Y884" s="1433"/>
      <c r="Z884" s="1433"/>
      <c r="AA884" s="1433"/>
      <c r="AB884" s="1433"/>
      <c r="AC884" s="1434"/>
      <c r="AD884" s="533"/>
      <c r="AV884" s="14"/>
      <c r="AW884" s="14"/>
      <c r="AX884" s="14"/>
      <c r="AY884" s="14"/>
      <c r="AZ884" s="34"/>
      <c r="BA884" s="34"/>
      <c r="BB884" s="34"/>
      <c r="BC884" s="34"/>
    </row>
    <row r="885" spans="3:55" ht="12.95" customHeight="1">
      <c r="J885" s="45" t="s">
        <v>170</v>
      </c>
      <c r="K885" s="5"/>
      <c r="L885" s="5"/>
      <c r="M885" s="1281" t="s">
        <v>334</v>
      </c>
      <c r="N885" s="1282"/>
      <c r="O885" s="1282"/>
      <c r="P885" s="1282"/>
      <c r="Q885" s="1282"/>
      <c r="R885" s="1282"/>
      <c r="S885" s="1282"/>
      <c r="T885" s="1282"/>
      <c r="U885" s="1282"/>
      <c r="V885" s="1283"/>
      <c r="W885" s="1432"/>
      <c r="X885" s="1433"/>
      <c r="Y885" s="1433"/>
      <c r="Z885" s="1433"/>
      <c r="AA885" s="1433"/>
      <c r="AB885" s="1433"/>
      <c r="AC885" s="1434"/>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281" t="s">
        <v>334</v>
      </c>
      <c r="N886" s="1282"/>
      <c r="O886" s="1282"/>
      <c r="P886" s="1282"/>
      <c r="Q886" s="1282"/>
      <c r="R886" s="1282"/>
      <c r="S886" s="1282"/>
      <c r="T886" s="1282"/>
      <c r="U886" s="1282"/>
      <c r="V886" s="1283"/>
      <c r="W886" s="1432"/>
      <c r="X886" s="1433"/>
      <c r="Y886" s="1433"/>
      <c r="Z886" s="1433"/>
      <c r="AA886" s="1433"/>
      <c r="AB886" s="1433"/>
      <c r="AC886" s="1434"/>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281" t="s">
        <v>334</v>
      </c>
      <c r="N887" s="1282"/>
      <c r="O887" s="1282"/>
      <c r="P887" s="1282"/>
      <c r="Q887" s="1282"/>
      <c r="R887" s="1282"/>
      <c r="S887" s="1282"/>
      <c r="T887" s="1282"/>
      <c r="U887" s="1282"/>
      <c r="V887" s="1283"/>
      <c r="W887" s="1432"/>
      <c r="X887" s="1433"/>
      <c r="Y887" s="1433"/>
      <c r="Z887" s="1433"/>
      <c r="AA887" s="1433"/>
      <c r="AB887" s="1433"/>
      <c r="AC887" s="1434"/>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428">
        <f>SUM(W883:W887)</f>
        <v>0</v>
      </c>
      <c r="X888" s="1429"/>
      <c r="Y888" s="1429"/>
      <c r="Z888" s="1429"/>
      <c r="AA888" s="1429"/>
      <c r="AB888" s="1429"/>
      <c r="AC888" s="1430"/>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429">
        <f>W855+W863+W870+W872+W881+W888+W857</f>
        <v>1393400</v>
      </c>
      <c r="AD892" s="1429"/>
      <c r="AE892" s="1429"/>
      <c r="AF892" s="1429"/>
      <c r="AG892" s="1429"/>
      <c r="AH892" s="1430"/>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564">
        <f>O805+O785+G761</f>
        <v>205</v>
      </c>
      <c r="AD893" s="1564"/>
      <c r="AE893" s="1564"/>
      <c r="AF893" s="1564"/>
      <c r="AG893" s="1564"/>
      <c r="AH893" s="1565"/>
      <c r="AL893" s="4"/>
      <c r="AM893" s="4"/>
      <c r="AN893" s="4"/>
      <c r="AO893" s="4"/>
      <c r="AP893" s="4"/>
      <c r="AQ893" s="4"/>
      <c r="AR893" s="4"/>
      <c r="AS893" s="4"/>
      <c r="AT893" s="4"/>
      <c r="AZ893" s="34"/>
      <c r="BA893" s="34"/>
      <c r="BB893" s="34"/>
      <c r="BC893" s="34"/>
    </row>
    <row r="894" spans="3:55" ht="12.95" customHeight="1">
      <c r="C894" s="41"/>
      <c r="D894" s="42"/>
      <c r="E894" s="1672" t="s">
        <v>32</v>
      </c>
      <c r="F894" s="1672"/>
      <c r="G894" s="1672"/>
      <c r="H894" s="1672"/>
      <c r="I894" s="1672"/>
      <c r="J894" s="1672"/>
      <c r="K894" s="1672"/>
      <c r="L894" s="1672"/>
      <c r="M894" s="1672"/>
      <c r="N894" s="1672"/>
      <c r="O894" s="1672"/>
      <c r="P894" s="1672"/>
      <c r="Q894" s="1672"/>
      <c r="R894" s="1672"/>
      <c r="S894" s="1672"/>
      <c r="T894" s="1672"/>
      <c r="U894" s="1672"/>
      <c r="V894" s="1672"/>
      <c r="W894" s="1672"/>
      <c r="X894" s="1672"/>
      <c r="Y894" s="1672"/>
      <c r="Z894" s="1672"/>
      <c r="AA894" s="1672"/>
      <c r="AB894" s="1673"/>
      <c r="AC894" s="1285">
        <f>IF(ISERROR((ROUNDDOWN(AC892/AC893,0))),0,(ROUNDDOWN(AC892/AC893,0)))</f>
        <v>6797</v>
      </c>
      <c r="AD894" s="1285"/>
      <c r="AE894" s="1285"/>
      <c r="AF894" s="1285"/>
      <c r="AG894" s="1285"/>
      <c r="AH894" s="1285"/>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677">
        <f>'Sources and Uses Budget'!C75</f>
        <v>1261450</v>
      </c>
      <c r="AD895" s="1678"/>
      <c r="AE895" s="1678"/>
      <c r="AF895" s="1678"/>
      <c r="AG895" s="1678"/>
      <c r="AH895" s="1678"/>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1159</v>
      </c>
      <c r="AC896" s="1434">
        <v>0</v>
      </c>
      <c r="AD896" s="1284"/>
      <c r="AE896" s="1284"/>
      <c r="AF896" s="1284"/>
      <c r="AG896" s="1284"/>
      <c r="AH896" s="1284"/>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433">
        <v>30600</v>
      </c>
      <c r="AD897" s="1433"/>
      <c r="AE897" s="1433"/>
      <c r="AF897" s="1433"/>
      <c r="AG897" s="1433"/>
      <c r="AH897" s="1434"/>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33">
        <v>51250</v>
      </c>
      <c r="AD898" s="1433"/>
      <c r="AE898" s="1433"/>
      <c r="AF898" s="1433"/>
      <c r="AG898" s="1433"/>
      <c r="AH898" s="1434"/>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1666</v>
      </c>
      <c r="AC899" s="1453"/>
      <c r="AD899" s="1454"/>
      <c r="AE899" s="1454"/>
      <c r="AF899" s="1454"/>
      <c r="AG899" s="1454"/>
      <c r="AH899" s="1455"/>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33">
        <v>30750</v>
      </c>
      <c r="AD900" s="1433"/>
      <c r="AE900" s="1433"/>
      <c r="AF900" s="1433"/>
      <c r="AG900" s="1433"/>
      <c r="AH900" s="1434"/>
      <c r="AZ900" s="34"/>
      <c r="BA900" s="34"/>
      <c r="BB900" s="34"/>
      <c r="BC900" s="34"/>
    </row>
    <row r="901" spans="1:58" ht="12.95" hidden="1" customHeight="1">
      <c r="C901" s="1388" t="s">
        <v>2185</v>
      </c>
      <c r="D901" s="1389"/>
      <c r="E901" s="1389"/>
      <c r="F901" s="1389"/>
      <c r="G901" s="1389"/>
      <c r="H901" s="1389"/>
      <c r="I901" s="1389"/>
      <c r="J901" s="1389"/>
      <c r="K901" s="1389"/>
      <c r="L901" s="1389"/>
      <c r="M901" s="1389"/>
      <c r="N901" s="1389"/>
      <c r="O901" s="1389"/>
      <c r="P901" s="1389"/>
      <c r="Q901" s="1389"/>
      <c r="R901" s="1389"/>
      <c r="S901" s="1389"/>
      <c r="T901" s="1389"/>
      <c r="U901" s="1389"/>
      <c r="V901" s="1389"/>
      <c r="W901" s="1389"/>
      <c r="X901" s="1389"/>
      <c r="Y901" s="1389"/>
      <c r="Z901" s="1389"/>
      <c r="AA901" s="1389"/>
      <c r="AB901" s="1390"/>
      <c r="AC901" s="1433"/>
      <c r="AD901" s="1433"/>
      <c r="AE901" s="1433"/>
      <c r="AF901" s="1433"/>
      <c r="AG901" s="1433"/>
      <c r="AH901" s="1434"/>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1645</v>
      </c>
      <c r="AC902" s="1433">
        <v>0</v>
      </c>
      <c r="AD902" s="1433"/>
      <c r="AE902" s="1433"/>
      <c r="AF902" s="1433"/>
      <c r="AG902" s="1433"/>
      <c r="AH902" s="1434"/>
      <c r="AZ902" s="34"/>
      <c r="BA902" s="34"/>
      <c r="BB902" s="34"/>
      <c r="BC902" s="34"/>
    </row>
    <row r="903" spans="1:58" ht="12.95" customHeight="1">
      <c r="C903" s="1556" t="s">
        <v>2714</v>
      </c>
      <c r="D903" s="1557"/>
      <c r="E903" s="1557"/>
      <c r="F903" s="1557"/>
      <c r="G903" s="1557"/>
      <c r="H903" s="1557"/>
      <c r="I903" s="1557"/>
      <c r="J903" s="1557"/>
      <c r="K903" s="1557"/>
      <c r="L903" s="1557"/>
      <c r="M903" s="1557"/>
      <c r="N903" s="1557"/>
      <c r="O903" s="1557"/>
      <c r="P903" s="1557"/>
      <c r="Q903" s="1557"/>
      <c r="R903" s="1557"/>
      <c r="S903" s="1557"/>
      <c r="T903" s="1557"/>
      <c r="U903" s="1557"/>
      <c r="V903" s="1557"/>
      <c r="W903" s="1557"/>
      <c r="X903" s="1557"/>
      <c r="Y903" s="1557"/>
      <c r="Z903" s="1557"/>
      <c r="AA903" s="1557"/>
      <c r="AB903" s="1558"/>
      <c r="AC903" s="1284">
        <v>7879</v>
      </c>
      <c r="AD903" s="1284"/>
      <c r="AE903" s="1284"/>
      <c r="AF903" s="1284"/>
      <c r="AG903" s="1284"/>
      <c r="AH903" s="1284"/>
      <c r="AZ903" s="34"/>
      <c r="BA903" s="34"/>
      <c r="BB903" s="34"/>
      <c r="BC903" s="34"/>
    </row>
    <row r="904" spans="1:58" ht="12.95" customHeight="1">
      <c r="C904" s="1556" t="s">
        <v>955</v>
      </c>
      <c r="D904" s="1557"/>
      <c r="E904" s="1557"/>
      <c r="F904" s="1557"/>
      <c r="G904" s="1557"/>
      <c r="H904" s="1557"/>
      <c r="I904" s="1557"/>
      <c r="J904" s="1557"/>
      <c r="K904" s="1557"/>
      <c r="L904" s="1557"/>
      <c r="M904" s="1557"/>
      <c r="N904" s="1557"/>
      <c r="O904" s="1557"/>
      <c r="P904" s="1557"/>
      <c r="Q904" s="1557"/>
      <c r="R904" s="1557"/>
      <c r="S904" s="1557"/>
      <c r="T904" s="1557"/>
      <c r="U904" s="1557"/>
      <c r="V904" s="1557"/>
      <c r="W904" s="1557"/>
      <c r="X904" s="1557"/>
      <c r="Y904" s="1557"/>
      <c r="Z904" s="1557"/>
      <c r="AA904" s="1557"/>
      <c r="AB904" s="1558"/>
      <c r="AC904" s="1284"/>
      <c r="AD904" s="1284"/>
      <c r="AE904" s="1284"/>
      <c r="AF904" s="1284"/>
      <c r="AG904" s="1284"/>
      <c r="AH904" s="1284"/>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432">
        <v>0</v>
      </c>
      <c r="AA908" s="1433"/>
      <c r="AB908" s="1433"/>
      <c r="AC908" s="1433"/>
      <c r="AD908" s="1433"/>
      <c r="AE908" s="1434"/>
      <c r="AF908" s="533"/>
      <c r="AZ908" s="34"/>
      <c r="BB908" s="30"/>
      <c r="BC908" s="812"/>
      <c r="BD908" s="1592"/>
      <c r="BE908" s="1592"/>
      <c r="BF908" s="14"/>
    </row>
    <row r="909" spans="1:58" ht="12.95" customHeight="1">
      <c r="H909" s="121" t="s">
        <v>239</v>
      </c>
      <c r="I909" s="5"/>
      <c r="J909" s="5"/>
      <c r="K909" s="5"/>
      <c r="L909" s="5"/>
      <c r="M909" s="5"/>
      <c r="N909" s="5"/>
      <c r="O909" s="5"/>
      <c r="P909" s="5"/>
      <c r="Q909" s="5"/>
      <c r="R909" s="5"/>
      <c r="S909" s="5"/>
      <c r="T909" s="5"/>
      <c r="U909" s="5"/>
      <c r="V909" s="5"/>
      <c r="W909" s="5"/>
      <c r="X909" s="5"/>
      <c r="Y909" s="5"/>
      <c r="Z909" s="1432">
        <v>0</v>
      </c>
      <c r="AA909" s="1433"/>
      <c r="AB909" s="1433"/>
      <c r="AC909" s="1433"/>
      <c r="AD909" s="1433"/>
      <c r="AE909" s="1434"/>
      <c r="AZ909" s="34"/>
      <c r="BB909" s="30"/>
      <c r="BC909" s="812"/>
      <c r="BD909" s="1592"/>
      <c r="BE909" s="1592"/>
      <c r="BF909" s="14"/>
    </row>
    <row r="910" spans="1:58" ht="12.95" customHeight="1">
      <c r="H910" s="121" t="s">
        <v>240</v>
      </c>
      <c r="I910" s="5"/>
      <c r="J910" s="5"/>
      <c r="K910" s="5"/>
      <c r="L910" s="5"/>
      <c r="M910" s="5"/>
      <c r="N910" s="5"/>
      <c r="O910" s="5"/>
      <c r="P910" s="5"/>
      <c r="Q910" s="5"/>
      <c r="R910" s="5"/>
      <c r="S910" s="5"/>
      <c r="T910" s="5"/>
      <c r="U910" s="5"/>
      <c r="V910" s="5"/>
      <c r="W910" s="5"/>
      <c r="X910" s="5"/>
      <c r="Y910" s="5"/>
      <c r="Z910" s="1432">
        <v>0</v>
      </c>
      <c r="AA910" s="1433"/>
      <c r="AB910" s="1433"/>
      <c r="AC910" s="1433"/>
      <c r="AD910" s="1433"/>
      <c r="AE910" s="1434"/>
      <c r="AZ910" s="34"/>
      <c r="BB910" s="30"/>
      <c r="BC910" s="812"/>
      <c r="BD910" s="1591"/>
      <c r="BE910" s="1591"/>
      <c r="BF910" s="14"/>
    </row>
    <row r="911" spans="1:58" ht="12.95" customHeight="1">
      <c r="H911" s="45"/>
      <c r="I911" s="5"/>
      <c r="J911" s="5"/>
      <c r="K911" s="5"/>
      <c r="L911" s="5"/>
      <c r="M911" s="5"/>
      <c r="N911" s="5"/>
      <c r="O911" s="5"/>
      <c r="P911" s="5"/>
      <c r="Q911" s="5"/>
      <c r="R911" s="5"/>
      <c r="S911" s="5"/>
      <c r="T911" s="5"/>
      <c r="U911" s="5"/>
      <c r="V911" s="5"/>
      <c r="W911" s="5"/>
      <c r="X911" s="5"/>
      <c r="Y911" s="181" t="s">
        <v>241</v>
      </c>
      <c r="Z911" s="1428">
        <f>Z908-(Z909+Z910)</f>
        <v>0</v>
      </c>
      <c r="AA911" s="1429"/>
      <c r="AB911" s="1429"/>
      <c r="AC911" s="1429"/>
      <c r="AD911" s="1429"/>
      <c r="AE911" s="1430"/>
      <c r="AZ911" s="34"/>
      <c r="BB911" s="30"/>
      <c r="BC911" s="812"/>
      <c r="BD911" s="1591"/>
      <c r="BE911" s="1591"/>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91"/>
      <c r="BE912" s="1591"/>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92"/>
      <c r="BE913" s="1591"/>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70"/>
      <c r="BE914" s="1670"/>
      <c r="BF914" s="1670"/>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09"/>
      <c r="BE915" s="1609"/>
      <c r="BF915" s="1609"/>
    </row>
    <row r="916" spans="1:58" ht="12.95" customHeight="1">
      <c r="C916" s="340" t="s">
        <v>1012</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91"/>
      <c r="BE916" s="1591"/>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92"/>
      <c r="BE917" s="1591"/>
      <c r="BF917" s="14"/>
    </row>
    <row r="918" spans="1:58" ht="12.95" customHeight="1">
      <c r="AZ918" s="34"/>
      <c r="BB918" s="30"/>
      <c r="BC918" s="812"/>
    </row>
    <row r="919" spans="1:58" ht="12.95" customHeight="1">
      <c r="A919" s="1278" t="s">
        <v>96</v>
      </c>
      <c r="B919" s="1278"/>
      <c r="C919" s="1278"/>
      <c r="D919" s="1278"/>
      <c r="E919" s="1278"/>
      <c r="F919" s="1278"/>
      <c r="G919" s="1278"/>
      <c r="H919" s="1278"/>
      <c r="I919" s="1278"/>
      <c r="J919" s="1278"/>
      <c r="K919" s="1278"/>
      <c r="L919" s="1278"/>
      <c r="M919" s="1278"/>
      <c r="N919" s="1278"/>
      <c r="O919" s="1278"/>
      <c r="P919" s="1278"/>
      <c r="Q919" s="1278"/>
      <c r="R919" s="1278"/>
      <c r="S919" s="1278"/>
      <c r="T919" s="1278"/>
      <c r="U919" s="1278"/>
      <c r="V919" s="1278"/>
      <c r="W919" s="1278"/>
      <c r="X919" s="1278"/>
      <c r="Y919" s="1278"/>
      <c r="Z919" s="1278"/>
      <c r="AA919" s="1278"/>
      <c r="AB919" s="1278"/>
      <c r="AC919" s="1278"/>
      <c r="AD919" s="1278"/>
      <c r="AE919" s="1278"/>
      <c r="AF919" s="1278"/>
      <c r="AG919" s="1278"/>
      <c r="AH919" s="1278"/>
      <c r="AI919" s="1278"/>
      <c r="AJ919" s="1278"/>
      <c r="AK919" s="1278"/>
      <c r="AL919" s="1278"/>
      <c r="AM919" s="1278"/>
      <c r="AN919" s="1278"/>
      <c r="AO919" s="1278"/>
      <c r="AP919" s="1278"/>
      <c r="AQ919" s="1278"/>
      <c r="AR919" s="1278"/>
      <c r="AS919" s="1278"/>
      <c r="AT919" s="1278"/>
      <c r="AZ919" s="34"/>
      <c r="BA919" s="34"/>
      <c r="BB919" s="30"/>
      <c r="BC919" s="30"/>
      <c r="BD919" s="1592"/>
      <c r="BE919" s="1591"/>
      <c r="BF919" s="907"/>
    </row>
    <row r="920" spans="1:58" ht="12.95" customHeight="1">
      <c r="A920" s="1278"/>
      <c r="B920" s="1278"/>
      <c r="C920" s="1278"/>
      <c r="D920" s="1278"/>
      <c r="E920" s="1278"/>
      <c r="F920" s="1278"/>
      <c r="G920" s="1278"/>
      <c r="H920" s="1278"/>
      <c r="I920" s="1278"/>
      <c r="J920" s="1278"/>
      <c r="K920" s="1278"/>
      <c r="L920" s="1278"/>
      <c r="M920" s="1278"/>
      <c r="N920" s="1278"/>
      <c r="O920" s="1278"/>
      <c r="P920" s="1278"/>
      <c r="Q920" s="1278"/>
      <c r="R920" s="1278"/>
      <c r="S920" s="1278"/>
      <c r="T920" s="1278"/>
      <c r="U920" s="1278"/>
      <c r="V920" s="1278"/>
      <c r="W920" s="1278"/>
      <c r="X920" s="1278"/>
      <c r="Y920" s="1278"/>
      <c r="Z920" s="1278"/>
      <c r="AA920" s="1278"/>
      <c r="AB920" s="1278"/>
      <c r="AC920" s="1278"/>
      <c r="AD920" s="1278"/>
      <c r="AE920" s="1278"/>
      <c r="AF920" s="1278"/>
      <c r="AG920" s="1278"/>
      <c r="AH920" s="1278"/>
      <c r="AI920" s="1278"/>
      <c r="AJ920" s="1278"/>
      <c r="AK920" s="1278"/>
      <c r="AL920" s="1278"/>
      <c r="AM920" s="1278"/>
      <c r="AN920" s="1278"/>
      <c r="AO920" s="1278"/>
      <c r="AP920" s="1278"/>
      <c r="AQ920" s="1278"/>
      <c r="AR920" s="1278"/>
      <c r="AS920" s="1278"/>
      <c r="AT920" s="1278"/>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566" t="s">
        <v>791</v>
      </c>
      <c r="G924" s="1567"/>
      <c r="H924" s="1567"/>
      <c r="I924" s="1567"/>
      <c r="J924" s="1567"/>
      <c r="K924" s="1567"/>
      <c r="L924" s="1567"/>
      <c r="M924" s="1567"/>
      <c r="N924" s="1567"/>
      <c r="O924" s="1567"/>
      <c r="P924" s="1567"/>
      <c r="Q924" s="1567"/>
      <c r="R924" s="1567"/>
      <c r="S924" s="1567"/>
      <c r="T924" s="1568"/>
      <c r="U924" s="1381" t="s">
        <v>31</v>
      </c>
      <c r="V924" s="1382"/>
      <c r="W924" s="1382"/>
      <c r="X924" s="1382"/>
      <c r="Y924" s="1382"/>
      <c r="Z924" s="1382"/>
      <c r="AA924" s="43"/>
      <c r="AB924" s="105"/>
      <c r="AC924" s="105"/>
      <c r="AD924" s="105"/>
      <c r="AE924" s="105"/>
      <c r="AF924" s="106"/>
      <c r="AZ924" s="34"/>
      <c r="BA924" s="34"/>
      <c r="BB924" s="34"/>
      <c r="BC924" s="34"/>
    </row>
    <row r="925" spans="1:58" ht="12.95" customHeight="1">
      <c r="B925" s="2"/>
      <c r="F925" s="1383" t="s">
        <v>817</v>
      </c>
      <c r="G925" s="1384"/>
      <c r="H925" s="1384"/>
      <c r="I925" s="1384"/>
      <c r="J925" s="1384"/>
      <c r="K925" s="1384"/>
      <c r="L925" s="1384"/>
      <c r="M925" s="1384"/>
      <c r="N925" s="1384"/>
      <c r="O925" s="1384"/>
      <c r="P925" s="1384"/>
      <c r="Q925" s="1384"/>
      <c r="R925" s="1384"/>
      <c r="S925" s="1384"/>
      <c r="T925" s="1474"/>
      <c r="U925" s="1383"/>
      <c r="V925" s="1384"/>
      <c r="W925" s="1384"/>
      <c r="X925" s="1384"/>
      <c r="Y925" s="1384"/>
      <c r="Z925" s="1384"/>
      <c r="AA925" s="44"/>
      <c r="AB925" s="4"/>
      <c r="AC925" s="4"/>
      <c r="AD925" s="4"/>
      <c r="AE925" s="4"/>
      <c r="AF925" s="107"/>
      <c r="AZ925" s="34"/>
      <c r="BA925" s="34"/>
      <c r="BB925" s="34"/>
      <c r="BC925" s="34"/>
    </row>
    <row r="926" spans="1:58" ht="12.95" customHeight="1">
      <c r="B926" s="2"/>
      <c r="F926" s="1385"/>
      <c r="G926" s="1386"/>
      <c r="H926" s="1386"/>
      <c r="I926" s="1386"/>
      <c r="J926" s="1386"/>
      <c r="K926" s="1386"/>
      <c r="L926" s="1386"/>
      <c r="M926" s="1386"/>
      <c r="N926" s="1386"/>
      <c r="O926" s="1386"/>
      <c r="P926" s="1386"/>
      <c r="Q926" s="1386"/>
      <c r="R926" s="1386"/>
      <c r="S926" s="1386"/>
      <c r="T926" s="1475"/>
      <c r="U926" s="1385"/>
      <c r="V926" s="1386"/>
      <c r="W926" s="1386"/>
      <c r="X926" s="1386"/>
      <c r="Y926" s="1386"/>
      <c r="Z926" s="1386"/>
      <c r="AA926" s="108"/>
      <c r="AB926" s="1494" t="s">
        <v>391</v>
      </c>
      <c r="AC926" s="1494"/>
      <c r="AD926" s="1494"/>
      <c r="AE926" s="1494"/>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324" t="s">
        <v>544</v>
      </c>
      <c r="V927" s="1325"/>
      <c r="W927" s="1325"/>
      <c r="X927" s="1325"/>
      <c r="Y927" s="1325"/>
      <c r="Z927" s="1326"/>
      <c r="AA927" s="1286">
        <f>AM562</f>
        <v>15758208</v>
      </c>
      <c r="AB927" s="1287"/>
      <c r="AC927" s="1287"/>
      <c r="AD927" s="1287"/>
      <c r="AE927" s="1287"/>
      <c r="AF927" s="1288"/>
      <c r="AG927" s="1191" t="str">
        <f>IF(NOT(AA927=AW927),"!","")</f>
        <v/>
      </c>
      <c r="AH927" s="3"/>
      <c r="AW927" s="1272">
        <f>SUMIF($M$562:$M$573,"Loan, Tax-Exempt",$AM$562:$AM$573)</f>
        <v>15758208</v>
      </c>
      <c r="AX927" s="1272"/>
      <c r="AY927" s="1272"/>
      <c r="AZ927" s="3" t="s">
        <v>2530</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324" t="s">
        <v>544</v>
      </c>
      <c r="V928" s="1325"/>
      <c r="W928" s="1325"/>
      <c r="X928" s="1325"/>
      <c r="Y928" s="1325"/>
      <c r="Z928" s="1326"/>
      <c r="AA928" s="1286">
        <f>AM563</f>
        <v>31987130</v>
      </c>
      <c r="AB928" s="1287"/>
      <c r="AC928" s="1287"/>
      <c r="AD928" s="1287"/>
      <c r="AE928" s="1287"/>
      <c r="AF928" s="1288"/>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324" t="s">
        <v>590</v>
      </c>
      <c r="V929" s="1325"/>
      <c r="W929" s="1325"/>
      <c r="X929" s="1325"/>
      <c r="Y929" s="1325"/>
      <c r="Z929" s="1326"/>
      <c r="AA929" s="1286"/>
      <c r="AB929" s="1287"/>
      <c r="AC929" s="1287"/>
      <c r="AD929" s="1287"/>
      <c r="AE929" s="1287"/>
      <c r="AF929" s="1288"/>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324" t="s">
        <v>590</v>
      </c>
      <c r="V930" s="1325"/>
      <c r="W930" s="1325"/>
      <c r="X930" s="1325"/>
      <c r="Y930" s="1325"/>
      <c r="Z930" s="1326"/>
      <c r="AA930" s="1286"/>
      <c r="AB930" s="1287"/>
      <c r="AC930" s="1287"/>
      <c r="AD930" s="1287"/>
      <c r="AE930" s="1287"/>
      <c r="AF930" s="1288"/>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324" t="s">
        <v>590</v>
      </c>
      <c r="V931" s="1325"/>
      <c r="W931" s="1325"/>
      <c r="X931" s="1325"/>
      <c r="Y931" s="1325"/>
      <c r="Z931" s="1326"/>
      <c r="AA931" s="1286"/>
      <c r="AB931" s="1287"/>
      <c r="AC931" s="1287"/>
      <c r="AD931" s="1287"/>
      <c r="AE931" s="1287"/>
      <c r="AF931" s="1288"/>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324" t="s">
        <v>590</v>
      </c>
      <c r="V932" s="1325"/>
      <c r="W932" s="1325"/>
      <c r="X932" s="1325"/>
      <c r="Y932" s="1325"/>
      <c r="Z932" s="1326"/>
      <c r="AA932" s="1286"/>
      <c r="AB932" s="1287"/>
      <c r="AC932" s="1287"/>
      <c r="AD932" s="1287"/>
      <c r="AE932" s="1287"/>
      <c r="AF932" s="1288"/>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324" t="s">
        <v>590</v>
      </c>
      <c r="V933" s="1325"/>
      <c r="W933" s="1325"/>
      <c r="X933" s="1325"/>
      <c r="Y933" s="1325"/>
      <c r="Z933" s="1326"/>
      <c r="AA933" s="1286"/>
      <c r="AB933" s="1287"/>
      <c r="AC933" s="1287"/>
      <c r="AD933" s="1287"/>
      <c r="AE933" s="1287"/>
      <c r="AF933" s="1288"/>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324" t="s">
        <v>590</v>
      </c>
      <c r="V934" s="1325"/>
      <c r="W934" s="1325"/>
      <c r="X934" s="1325"/>
      <c r="Y934" s="1325"/>
      <c r="Z934" s="1326"/>
      <c r="AA934" s="1286"/>
      <c r="AB934" s="1287"/>
      <c r="AC934" s="1287"/>
      <c r="AD934" s="1287"/>
      <c r="AE934" s="1287"/>
      <c r="AF934" s="1288"/>
      <c r="AZ934" s="34"/>
      <c r="BA934" s="34"/>
      <c r="BB934" s="34"/>
      <c r="BC934" s="34"/>
    </row>
    <row r="935" spans="6:55" ht="12.95" customHeight="1">
      <c r="F935" s="1476" t="s">
        <v>2145</v>
      </c>
      <c r="G935" s="1477"/>
      <c r="H935" s="1477"/>
      <c r="I935" s="1477"/>
      <c r="J935" s="1477"/>
      <c r="K935" s="1477"/>
      <c r="L935" s="1477"/>
      <c r="M935" s="1477"/>
      <c r="N935" s="1477"/>
      <c r="O935" s="1477"/>
      <c r="P935" s="1477"/>
      <c r="Q935" s="1477"/>
      <c r="R935" s="1477"/>
      <c r="S935" s="1477"/>
      <c r="T935" s="1478"/>
      <c r="U935" s="1324" t="s">
        <v>590</v>
      </c>
      <c r="V935" s="1325"/>
      <c r="W935" s="1325"/>
      <c r="X935" s="1325"/>
      <c r="Y935" s="1325"/>
      <c r="Z935" s="1326"/>
      <c r="AA935" s="1286"/>
      <c r="AB935" s="1287"/>
      <c r="AC935" s="1287"/>
      <c r="AD935" s="1287"/>
      <c r="AE935" s="1287"/>
      <c r="AF935" s="1288"/>
      <c r="AZ935" s="34"/>
      <c r="BA935" s="34"/>
      <c r="BB935" s="34"/>
      <c r="BC935" s="34"/>
    </row>
    <row r="936" spans="6:55" ht="12.95" customHeight="1">
      <c r="F936" s="1476" t="s">
        <v>678</v>
      </c>
      <c r="G936" s="1477"/>
      <c r="H936" s="1477"/>
      <c r="I936" s="1477"/>
      <c r="J936" s="1477"/>
      <c r="K936" s="1477"/>
      <c r="L936" s="1477"/>
      <c r="M936" s="1477"/>
      <c r="N936" s="1477"/>
      <c r="O936" s="1477"/>
      <c r="P936" s="1477"/>
      <c r="Q936" s="1477"/>
      <c r="R936" s="1477"/>
      <c r="S936" s="1477"/>
      <c r="T936" s="1478"/>
      <c r="U936" s="1324" t="s">
        <v>590</v>
      </c>
      <c r="V936" s="1325"/>
      <c r="W936" s="1325"/>
      <c r="X936" s="1325"/>
      <c r="Y936" s="1325"/>
      <c r="Z936" s="1326"/>
      <c r="AA936" s="1286"/>
      <c r="AB936" s="1287"/>
      <c r="AC936" s="1287"/>
      <c r="AD936" s="1287"/>
      <c r="AE936" s="1287"/>
      <c r="AF936" s="1288"/>
      <c r="AU936" s="2"/>
      <c r="AZ936" s="34"/>
      <c r="BA936" s="34"/>
      <c r="BB936" s="34"/>
      <c r="BC936" s="34"/>
    </row>
    <row r="937" spans="6:55" ht="12.95" customHeight="1">
      <c r="F937" s="1476" t="s">
        <v>2146</v>
      </c>
      <c r="G937" s="1477"/>
      <c r="H937" s="1477"/>
      <c r="I937" s="1477"/>
      <c r="J937" s="1477"/>
      <c r="K937" s="1477"/>
      <c r="L937" s="1477"/>
      <c r="M937" s="1477"/>
      <c r="N937" s="1477"/>
      <c r="O937" s="1477"/>
      <c r="P937" s="1477"/>
      <c r="Q937" s="1477"/>
      <c r="R937" s="1477"/>
      <c r="S937" s="1477"/>
      <c r="T937" s="1478"/>
      <c r="U937" s="1324" t="s">
        <v>590</v>
      </c>
      <c r="V937" s="1325"/>
      <c r="W937" s="1325"/>
      <c r="X937" s="1325"/>
      <c r="Y937" s="1325"/>
      <c r="Z937" s="1326"/>
      <c r="AA937" s="1286"/>
      <c r="AB937" s="1287"/>
      <c r="AC937" s="1287"/>
      <c r="AD937" s="1287"/>
      <c r="AE937" s="1287"/>
      <c r="AF937" s="1288"/>
      <c r="AU937" s="2"/>
      <c r="AZ937" s="34"/>
      <c r="BA937" s="34"/>
      <c r="BB937" s="34"/>
      <c r="BC937" s="34"/>
    </row>
    <row r="938" spans="6:55" ht="12.95" customHeight="1">
      <c r="F938" s="1476" t="s">
        <v>2147</v>
      </c>
      <c r="G938" s="1477"/>
      <c r="H938" s="1477"/>
      <c r="I938" s="1477"/>
      <c r="J938" s="1477"/>
      <c r="K938" s="1477"/>
      <c r="L938" s="1477"/>
      <c r="M938" s="1477"/>
      <c r="N938" s="1477"/>
      <c r="O938" s="1477"/>
      <c r="P938" s="1477"/>
      <c r="Q938" s="1477"/>
      <c r="R938" s="1477"/>
      <c r="S938" s="1477"/>
      <c r="T938" s="1478"/>
      <c r="U938" s="1324" t="s">
        <v>590</v>
      </c>
      <c r="V938" s="1325"/>
      <c r="W938" s="1325"/>
      <c r="X938" s="1325"/>
      <c r="Y938" s="1325"/>
      <c r="Z938" s="1326"/>
      <c r="AA938" s="1286"/>
      <c r="AB938" s="1287"/>
      <c r="AC938" s="1287"/>
      <c r="AD938" s="1287"/>
      <c r="AE938" s="1287"/>
      <c r="AF938" s="1288"/>
      <c r="AU938" s="2"/>
      <c r="AZ938" s="34"/>
      <c r="BA938" s="34"/>
      <c r="BB938" s="34"/>
      <c r="BC938" s="34"/>
    </row>
    <row r="939" spans="6:55" ht="12.95" customHeight="1">
      <c r="F939" s="1476" t="s">
        <v>2148</v>
      </c>
      <c r="G939" s="1477"/>
      <c r="H939" s="1477"/>
      <c r="I939" s="1477"/>
      <c r="J939" s="1477"/>
      <c r="K939" s="1477"/>
      <c r="L939" s="1477"/>
      <c r="M939" s="1477"/>
      <c r="N939" s="1477"/>
      <c r="O939" s="1477"/>
      <c r="P939" s="1477"/>
      <c r="Q939" s="1477"/>
      <c r="R939" s="1477"/>
      <c r="S939" s="1477"/>
      <c r="T939" s="1478"/>
      <c r="U939" s="1324" t="s">
        <v>590</v>
      </c>
      <c r="V939" s="1325"/>
      <c r="W939" s="1325"/>
      <c r="X939" s="1325"/>
      <c r="Y939" s="1325"/>
      <c r="Z939" s="1326"/>
      <c r="AA939" s="1286"/>
      <c r="AB939" s="1287"/>
      <c r="AC939" s="1287"/>
      <c r="AD939" s="1287"/>
      <c r="AE939" s="1287"/>
      <c r="AF939" s="1288"/>
      <c r="AU939" s="2"/>
      <c r="AZ939" s="34"/>
      <c r="BA939" s="34"/>
      <c r="BB939" s="34"/>
      <c r="BC939" s="34"/>
    </row>
    <row r="940" spans="6:55" ht="12.95" customHeight="1">
      <c r="F940" s="1476" t="s">
        <v>2149</v>
      </c>
      <c r="G940" s="1477"/>
      <c r="H940" s="1477"/>
      <c r="I940" s="1477"/>
      <c r="J940" s="1477"/>
      <c r="K940" s="1477"/>
      <c r="L940" s="1477"/>
      <c r="M940" s="1477"/>
      <c r="N940" s="1477"/>
      <c r="O940" s="1477"/>
      <c r="P940" s="1477"/>
      <c r="Q940" s="1477"/>
      <c r="R940" s="1477"/>
      <c r="S940" s="1477"/>
      <c r="T940" s="1478"/>
      <c r="U940" s="1324" t="s">
        <v>590</v>
      </c>
      <c r="V940" s="1325"/>
      <c r="W940" s="1325"/>
      <c r="X940" s="1325"/>
      <c r="Y940" s="1325"/>
      <c r="Z940" s="1326"/>
      <c r="AA940" s="1286"/>
      <c r="AB940" s="1287"/>
      <c r="AC940" s="1287"/>
      <c r="AD940" s="1287"/>
      <c r="AE940" s="1287"/>
      <c r="AF940" s="1288"/>
      <c r="AU940" s="2"/>
      <c r="AZ940" s="34"/>
      <c r="BA940" s="34"/>
      <c r="BB940" s="34"/>
      <c r="BC940" s="34"/>
    </row>
    <row r="941" spans="6:55" ht="12.95" customHeight="1">
      <c r="F941" s="1476" t="s">
        <v>2150</v>
      </c>
      <c r="G941" s="1477"/>
      <c r="H941" s="1477"/>
      <c r="I941" s="1477"/>
      <c r="J941" s="1477"/>
      <c r="K941" s="1477"/>
      <c r="L941" s="1477"/>
      <c r="M941" s="1477"/>
      <c r="N941" s="1477"/>
      <c r="O941" s="1477"/>
      <c r="P941" s="1477"/>
      <c r="Q941" s="1477"/>
      <c r="R941" s="1477"/>
      <c r="S941" s="1477"/>
      <c r="T941" s="1478"/>
      <c r="U941" s="1324" t="s">
        <v>590</v>
      </c>
      <c r="V941" s="1325"/>
      <c r="W941" s="1325"/>
      <c r="X941" s="1325"/>
      <c r="Y941" s="1325"/>
      <c r="Z941" s="1326"/>
      <c r="AA941" s="1286"/>
      <c r="AB941" s="1287"/>
      <c r="AC941" s="1287"/>
      <c r="AD941" s="1287"/>
      <c r="AE941" s="1287"/>
      <c r="AF941" s="1288"/>
      <c r="AZ941" s="30"/>
      <c r="BA941" s="30"/>
    </row>
    <row r="942" spans="6:55" ht="12.95" customHeight="1">
      <c r="F942" s="178" t="s">
        <v>675</v>
      </c>
      <c r="G942" s="5"/>
      <c r="H942" s="5"/>
      <c r="I942" s="5"/>
      <c r="J942" s="5"/>
      <c r="K942" s="5"/>
      <c r="L942" s="5"/>
      <c r="M942" s="5"/>
      <c r="N942" s="5"/>
      <c r="O942" s="5"/>
      <c r="P942" s="5"/>
      <c r="Q942" s="5"/>
      <c r="R942" s="5"/>
      <c r="S942" s="5"/>
      <c r="T942" s="46"/>
      <c r="U942" s="1324" t="s">
        <v>590</v>
      </c>
      <c r="V942" s="1325"/>
      <c r="W942" s="1325"/>
      <c r="X942" s="1325"/>
      <c r="Y942" s="1325"/>
      <c r="Z942" s="1326"/>
      <c r="AA942" s="1286"/>
      <c r="AB942" s="1287"/>
      <c r="AC942" s="1287"/>
      <c r="AD942" s="1287"/>
      <c r="AE942" s="1287"/>
      <c r="AF942" s="1288"/>
    </row>
    <row r="943" spans="6:55" ht="12.95" customHeight="1">
      <c r="F943" s="121" t="s">
        <v>1276</v>
      </c>
      <c r="G943" s="5"/>
      <c r="H943" s="5"/>
      <c r="I943" s="5"/>
      <c r="J943" s="5"/>
      <c r="K943" s="5"/>
      <c r="L943" s="5"/>
      <c r="M943" s="5"/>
      <c r="N943" s="5"/>
      <c r="O943" s="5"/>
      <c r="P943" s="5"/>
      <c r="Q943" s="5"/>
      <c r="R943" s="5"/>
      <c r="S943" s="5"/>
      <c r="T943" s="46"/>
      <c r="U943" s="1324" t="s">
        <v>544</v>
      </c>
      <c r="V943" s="1325"/>
      <c r="W943" s="1325"/>
      <c r="X943" s="1325"/>
      <c r="Y943" s="1325"/>
      <c r="Z943" s="1326"/>
      <c r="AA943" s="1286">
        <f>AO637</f>
        <v>6000000</v>
      </c>
      <c r="AB943" s="1287"/>
      <c r="AC943" s="1287"/>
      <c r="AD943" s="1287"/>
      <c r="AE943" s="1287"/>
      <c r="AF943" s="1288"/>
      <c r="AZ943" s="30"/>
      <c r="BA943" s="14"/>
    </row>
    <row r="944" spans="6:55" ht="12.95" customHeight="1">
      <c r="F944" s="66" t="s">
        <v>801</v>
      </c>
      <c r="G944" s="5"/>
      <c r="H944" s="5"/>
      <c r="I944" s="5"/>
      <c r="J944" s="5"/>
      <c r="K944" s="5"/>
      <c r="L944" s="5"/>
      <c r="M944" s="5"/>
      <c r="N944" s="5"/>
      <c r="O944" s="5"/>
      <c r="P944" s="5"/>
      <c r="Q944" s="5"/>
      <c r="R944" s="5"/>
      <c r="S944" s="5"/>
      <c r="T944" s="46"/>
      <c r="U944" s="1324" t="s">
        <v>590</v>
      </c>
      <c r="V944" s="1325"/>
      <c r="W944" s="1325"/>
      <c r="X944" s="1325"/>
      <c r="Y944" s="1325"/>
      <c r="Z944" s="1326"/>
      <c r="AA944" s="1286"/>
      <c r="AB944" s="1287"/>
      <c r="AC944" s="1287"/>
      <c r="AD944" s="1287"/>
      <c r="AE944" s="1287"/>
      <c r="AF944" s="1288"/>
      <c r="AZ944" s="30"/>
      <c r="BA944" s="14"/>
    </row>
    <row r="945" spans="6:55" ht="12.95" customHeight="1">
      <c r="F945" s="1321" t="s">
        <v>2154</v>
      </c>
      <c r="G945" s="1322"/>
      <c r="H945" s="1322"/>
      <c r="I945" s="1322"/>
      <c r="J945" s="1322"/>
      <c r="K945" s="1322"/>
      <c r="L945" s="1322"/>
      <c r="M945" s="1322"/>
      <c r="N945" s="1322"/>
      <c r="O945" s="1322"/>
      <c r="P945" s="1322"/>
      <c r="Q945" s="1322"/>
      <c r="R945" s="1322"/>
      <c r="S945" s="1322"/>
      <c r="T945" s="1323"/>
      <c r="U945" s="1324" t="s">
        <v>590</v>
      </c>
      <c r="V945" s="1325"/>
      <c r="W945" s="1325"/>
      <c r="X945" s="1325"/>
      <c r="Y945" s="1325"/>
      <c r="Z945" s="1326"/>
      <c r="AA945" s="1286"/>
      <c r="AB945" s="1287"/>
      <c r="AC945" s="1287"/>
      <c r="AD945" s="1287"/>
      <c r="AE945" s="1287"/>
      <c r="AF945" s="1288"/>
      <c r="AZ945" s="30"/>
      <c r="BA945" s="14"/>
    </row>
    <row r="946" spans="6:55" ht="12.95" customHeight="1">
      <c r="F946" s="1321" t="s">
        <v>2155</v>
      </c>
      <c r="G946" s="1322"/>
      <c r="H946" s="1322"/>
      <c r="I946" s="1322"/>
      <c r="J946" s="1322"/>
      <c r="K946" s="1322"/>
      <c r="L946" s="1322"/>
      <c r="M946" s="1322"/>
      <c r="N946" s="1322"/>
      <c r="O946" s="1322"/>
      <c r="P946" s="1322"/>
      <c r="Q946" s="1322"/>
      <c r="R946" s="1322"/>
      <c r="S946" s="1322"/>
      <c r="T946" s="1323"/>
      <c r="U946" s="1324" t="s">
        <v>590</v>
      </c>
      <c r="V946" s="1325"/>
      <c r="W946" s="1325"/>
      <c r="X946" s="1325"/>
      <c r="Y946" s="1325"/>
      <c r="Z946" s="1326"/>
      <c r="AA946" s="1286"/>
      <c r="AB946" s="1287"/>
      <c r="AC946" s="1287"/>
      <c r="AD946" s="1287"/>
      <c r="AE946" s="1287"/>
      <c r="AF946" s="1288"/>
      <c r="AZ946" s="30"/>
      <c r="BA946" s="30"/>
    </row>
    <row r="947" spans="6:55" ht="12.95" customHeight="1">
      <c r="F947" s="1476" t="s">
        <v>2151</v>
      </c>
      <c r="G947" s="1477"/>
      <c r="H947" s="1477"/>
      <c r="I947" s="1477"/>
      <c r="J947" s="1477"/>
      <c r="K947" s="1477"/>
      <c r="L947" s="1477"/>
      <c r="M947" s="1477"/>
      <c r="N947" s="1477"/>
      <c r="O947" s="1477"/>
      <c r="P947" s="1477"/>
      <c r="Q947" s="1477"/>
      <c r="R947" s="1477"/>
      <c r="S947" s="1477"/>
      <c r="T947" s="1478"/>
      <c r="U947" s="1324" t="s">
        <v>590</v>
      </c>
      <c r="V947" s="1325"/>
      <c r="W947" s="1325"/>
      <c r="X947" s="1325"/>
      <c r="Y947" s="1325"/>
      <c r="Z947" s="1326"/>
      <c r="AA947" s="1286"/>
      <c r="AB947" s="1287"/>
      <c r="AC947" s="1287"/>
      <c r="AD947" s="1287"/>
      <c r="AE947" s="1287"/>
      <c r="AF947" s="1288"/>
      <c r="AZ947" s="30"/>
      <c r="BA947" s="30"/>
    </row>
    <row r="948" spans="6:55" ht="12.95" customHeight="1">
      <c r="F948" s="1476" t="s">
        <v>2152</v>
      </c>
      <c r="G948" s="1477"/>
      <c r="H948" s="1477"/>
      <c r="I948" s="1477"/>
      <c r="J948" s="1477"/>
      <c r="K948" s="1477"/>
      <c r="L948" s="1477"/>
      <c r="M948" s="1477"/>
      <c r="N948" s="1477"/>
      <c r="O948" s="1477"/>
      <c r="P948" s="1477"/>
      <c r="Q948" s="1477"/>
      <c r="R948" s="1477"/>
      <c r="S948" s="1477"/>
      <c r="T948" s="1478"/>
      <c r="U948" s="1324" t="s">
        <v>590</v>
      </c>
      <c r="V948" s="1325"/>
      <c r="W948" s="1325"/>
      <c r="X948" s="1325"/>
      <c r="Y948" s="1325"/>
      <c r="Z948" s="1326"/>
      <c r="AA948" s="1286"/>
      <c r="AB948" s="1287"/>
      <c r="AC948" s="1287"/>
      <c r="AD948" s="1287"/>
      <c r="AE948" s="1287"/>
      <c r="AF948" s="1288"/>
      <c r="AZ948" s="30"/>
      <c r="BA948" s="30"/>
    </row>
    <row r="949" spans="6:55" ht="12.95" customHeight="1">
      <c r="F949" s="1476" t="s">
        <v>2153</v>
      </c>
      <c r="G949" s="1477"/>
      <c r="H949" s="1477"/>
      <c r="I949" s="1477"/>
      <c r="J949" s="1477"/>
      <c r="K949" s="1477"/>
      <c r="L949" s="1477"/>
      <c r="M949" s="1477"/>
      <c r="N949" s="1477"/>
      <c r="O949" s="1477"/>
      <c r="P949" s="1477"/>
      <c r="Q949" s="1477"/>
      <c r="R949" s="1477"/>
      <c r="S949" s="1477"/>
      <c r="T949" s="1478"/>
      <c r="U949" s="1324" t="s">
        <v>590</v>
      </c>
      <c r="V949" s="1325"/>
      <c r="W949" s="1325"/>
      <c r="X949" s="1325"/>
      <c r="Y949" s="1325"/>
      <c r="Z949" s="1326"/>
      <c r="AA949" s="1286"/>
      <c r="AB949" s="1287"/>
      <c r="AC949" s="1287"/>
      <c r="AD949" s="1287"/>
      <c r="AE949" s="1287"/>
      <c r="AF949" s="1288"/>
      <c r="AZ949" s="34"/>
      <c r="BA949" s="34"/>
      <c r="BB949" s="14"/>
      <c r="BC949" s="14"/>
    </row>
    <row r="950" spans="6:55" ht="12.95" customHeight="1">
      <c r="F950" s="121" t="s">
        <v>1260</v>
      </c>
      <c r="G950" s="5"/>
      <c r="H950" s="5"/>
      <c r="I950" s="5"/>
      <c r="J950" s="5"/>
      <c r="K950" s="5"/>
      <c r="L950" s="5"/>
      <c r="M950" s="5"/>
      <c r="N950" s="5"/>
      <c r="O950" s="5"/>
      <c r="P950" s="5"/>
      <c r="Q950" s="5"/>
      <c r="R950" s="5"/>
      <c r="S950" s="5"/>
      <c r="T950" s="46"/>
      <c r="U950" s="1324" t="s">
        <v>590</v>
      </c>
      <c r="V950" s="1325"/>
      <c r="W950" s="1325"/>
      <c r="X950" s="1325"/>
      <c r="Y950" s="1325"/>
      <c r="Z950" s="1326"/>
      <c r="AA950" s="1286"/>
      <c r="AB950" s="1287"/>
      <c r="AC950" s="1287"/>
      <c r="AD950" s="1287"/>
      <c r="AE950" s="1287"/>
      <c r="AF950" s="1288"/>
      <c r="AZ950" s="34"/>
      <c r="BA950" s="34"/>
      <c r="BB950" s="14"/>
      <c r="BC950" s="14"/>
    </row>
    <row r="951" spans="6:55" ht="12.95" customHeight="1">
      <c r="F951" s="1321" t="s">
        <v>2156</v>
      </c>
      <c r="G951" s="1322"/>
      <c r="H951" s="1322"/>
      <c r="I951" s="1322"/>
      <c r="J951" s="1322"/>
      <c r="K951" s="1322"/>
      <c r="L951" s="1322"/>
      <c r="M951" s="1322"/>
      <c r="N951" s="1322"/>
      <c r="O951" s="1322"/>
      <c r="P951" s="1322"/>
      <c r="Q951" s="1322"/>
      <c r="R951" s="1322"/>
      <c r="S951" s="1322"/>
      <c r="T951" s="1323"/>
      <c r="U951" s="1324" t="s">
        <v>590</v>
      </c>
      <c r="V951" s="1325"/>
      <c r="W951" s="1325"/>
      <c r="X951" s="1325"/>
      <c r="Y951" s="1325"/>
      <c r="Z951" s="1326"/>
      <c r="AA951" s="1286"/>
      <c r="AB951" s="1287"/>
      <c r="AC951" s="1287"/>
      <c r="AD951" s="1287"/>
      <c r="AE951" s="1287"/>
      <c r="AF951" s="1288"/>
      <c r="AZ951" s="34"/>
      <c r="BA951" s="34"/>
      <c r="BB951" s="34"/>
      <c r="BC951" s="34"/>
    </row>
    <row r="952" spans="6:55" ht="12.95" customHeight="1">
      <c r="F952" s="121" t="s">
        <v>1261</v>
      </c>
      <c r="G952" s="5"/>
      <c r="H952" s="5"/>
      <c r="I952" s="5"/>
      <c r="J952" s="5"/>
      <c r="K952" s="5"/>
      <c r="L952" s="5"/>
      <c r="M952" s="5"/>
      <c r="N952" s="5"/>
      <c r="O952" s="5"/>
      <c r="P952" s="5"/>
      <c r="Q952" s="5"/>
      <c r="R952" s="5"/>
      <c r="S952" s="5"/>
      <c r="T952" s="46"/>
      <c r="U952" s="1324" t="s">
        <v>590</v>
      </c>
      <c r="V952" s="1325"/>
      <c r="W952" s="1325"/>
      <c r="X952" s="1325"/>
      <c r="Y952" s="1325"/>
      <c r="Z952" s="1326"/>
      <c r="AA952" s="1286"/>
      <c r="AB952" s="1287"/>
      <c r="AC952" s="1287"/>
      <c r="AD952" s="1287"/>
      <c r="AE952" s="1287"/>
      <c r="AF952" s="1288"/>
      <c r="AZ952" s="34"/>
      <c r="BA952" s="34"/>
      <c r="BB952" s="34"/>
      <c r="BC952" s="34"/>
    </row>
    <row r="953" spans="6:55" ht="12.95" customHeight="1">
      <c r="F953" s="1321" t="s">
        <v>2157</v>
      </c>
      <c r="G953" s="1322"/>
      <c r="H953" s="1322"/>
      <c r="I953" s="1322"/>
      <c r="J953" s="1322"/>
      <c r="K953" s="1322"/>
      <c r="L953" s="1322"/>
      <c r="M953" s="1322"/>
      <c r="N953" s="1322"/>
      <c r="O953" s="1322"/>
      <c r="P953" s="1322"/>
      <c r="Q953" s="1322"/>
      <c r="R953" s="1322"/>
      <c r="S953" s="1322"/>
      <c r="T953" s="1323"/>
      <c r="U953" s="1324" t="s">
        <v>590</v>
      </c>
      <c r="V953" s="1325"/>
      <c r="W953" s="1325"/>
      <c r="X953" s="1325"/>
      <c r="Y953" s="1325"/>
      <c r="Z953" s="1326"/>
      <c r="AA953" s="1286"/>
      <c r="AB953" s="1287"/>
      <c r="AC953" s="1287"/>
      <c r="AD953" s="1287"/>
      <c r="AE953" s="1287"/>
      <c r="AF953" s="1288"/>
      <c r="AZ953" s="34"/>
      <c r="BA953" s="34"/>
      <c r="BB953" s="34"/>
      <c r="BC953" s="34"/>
    </row>
    <row r="954" spans="6:55" ht="12.95" customHeight="1">
      <c r="F954" s="45" t="s">
        <v>805</v>
      </c>
      <c r="G954" s="5"/>
      <c r="H954" s="5"/>
      <c r="I954" s="5"/>
      <c r="J954" s="5"/>
      <c r="K954" s="5"/>
      <c r="L954" s="5"/>
      <c r="M954" s="5"/>
      <c r="N954" s="5"/>
      <c r="O954" s="5"/>
      <c r="P954" s="1324" t="s">
        <v>668</v>
      </c>
      <c r="Q954" s="1325"/>
      <c r="R954" s="1325"/>
      <c r="S954" s="1325"/>
      <c r="T954" s="1326"/>
      <c r="U954" s="1324" t="s">
        <v>590</v>
      </c>
      <c r="V954" s="1325"/>
      <c r="W954" s="1325"/>
      <c r="X954" s="1325"/>
      <c r="Y954" s="1325"/>
      <c r="Z954" s="1326"/>
      <c r="AA954" s="1286"/>
      <c r="AB954" s="1287"/>
      <c r="AC954" s="1287"/>
      <c r="AD954" s="1287"/>
      <c r="AE954" s="1287"/>
      <c r="AF954" s="1288"/>
      <c r="AZ954" s="34"/>
      <c r="BA954" s="34"/>
      <c r="BB954" s="34"/>
      <c r="BC954" s="34"/>
    </row>
    <row r="955" spans="6:55" ht="12.95" customHeight="1">
      <c r="F955" s="1476" t="s">
        <v>2144</v>
      </c>
      <c r="G955" s="1477"/>
      <c r="H955" s="1478"/>
      <c r="I955" s="1281" t="s">
        <v>334</v>
      </c>
      <c r="J955" s="1282"/>
      <c r="K955" s="1282"/>
      <c r="L955" s="1282"/>
      <c r="M955" s="1282"/>
      <c r="N955" s="1282"/>
      <c r="O955" s="1282"/>
      <c r="P955" s="1282"/>
      <c r="Q955" s="1282"/>
      <c r="R955" s="1282"/>
      <c r="S955" s="1282"/>
      <c r="T955" s="1283"/>
      <c r="U955" s="1324" t="s">
        <v>590</v>
      </c>
      <c r="V955" s="1325"/>
      <c r="W955" s="1325"/>
      <c r="X955" s="1325"/>
      <c r="Y955" s="1325"/>
      <c r="Z955" s="1326"/>
      <c r="AA955" s="1286"/>
      <c r="AB955" s="1287"/>
      <c r="AC955" s="1287"/>
      <c r="AD955" s="1287"/>
      <c r="AE955" s="1287"/>
      <c r="AF955" s="1288"/>
      <c r="AZ955" s="34"/>
      <c r="BA955" s="34"/>
      <c r="BB955" s="34"/>
      <c r="BC955" s="34"/>
    </row>
    <row r="956" spans="6:55" ht="12.95" customHeight="1">
      <c r="F956" s="45" t="s">
        <v>86</v>
      </c>
      <c r="G956" s="48"/>
      <c r="H956" s="48"/>
      <c r="I956" s="1281" t="s">
        <v>334</v>
      </c>
      <c r="J956" s="1282"/>
      <c r="K956" s="1282"/>
      <c r="L956" s="1282"/>
      <c r="M956" s="1282"/>
      <c r="N956" s="1282"/>
      <c r="O956" s="1282"/>
      <c r="P956" s="1282"/>
      <c r="Q956" s="1282"/>
      <c r="R956" s="1282"/>
      <c r="S956" s="1282"/>
      <c r="T956" s="1283"/>
      <c r="U956" s="1324" t="s">
        <v>590</v>
      </c>
      <c r="V956" s="1325"/>
      <c r="W956" s="1325"/>
      <c r="X956" s="1325"/>
      <c r="Y956" s="1325"/>
      <c r="Z956" s="1326"/>
      <c r="AA956" s="1286"/>
      <c r="AB956" s="1287"/>
      <c r="AC956" s="1287"/>
      <c r="AD956" s="1287"/>
      <c r="AE956" s="1287"/>
      <c r="AF956" s="1288"/>
      <c r="AZ956" s="34"/>
      <c r="BA956" s="34"/>
      <c r="BB956" s="34"/>
      <c r="BC956" s="34"/>
    </row>
    <row r="957" spans="6:55" ht="12.95" customHeight="1">
      <c r="F957" s="45" t="s">
        <v>10</v>
      </c>
      <c r="G957" s="48"/>
      <c r="H957" s="48"/>
      <c r="I957" s="1317" t="s">
        <v>334</v>
      </c>
      <c r="J957" s="1318"/>
      <c r="K957" s="1318"/>
      <c r="L957" s="1318"/>
      <c r="M957" s="1318"/>
      <c r="N957" s="1318"/>
      <c r="O957" s="1318"/>
      <c r="P957" s="1318"/>
      <c r="Q957" s="1318"/>
      <c r="R957" s="1318"/>
      <c r="S957" s="1318"/>
      <c r="T957" s="1319"/>
      <c r="U957" s="1324" t="s">
        <v>590</v>
      </c>
      <c r="V957" s="1325"/>
      <c r="W957" s="1325"/>
      <c r="X957" s="1325"/>
      <c r="Y957" s="1325"/>
      <c r="Z957" s="1326"/>
      <c r="AA957" s="1286"/>
      <c r="AB957" s="1287"/>
      <c r="AC957" s="1287"/>
      <c r="AD957" s="1287"/>
      <c r="AE957" s="1287"/>
      <c r="AF957" s="1288"/>
      <c r="AV957" s="2"/>
      <c r="AW957" s="2"/>
      <c r="AX957" s="2"/>
      <c r="AY957" s="2"/>
      <c r="AZ957" s="34"/>
      <c r="BA957" s="34"/>
      <c r="BB957" s="34"/>
      <c r="BC957" s="34"/>
    </row>
    <row r="958" spans="6:55" ht="12.95" customHeight="1">
      <c r="F958" s="47" t="s">
        <v>170</v>
      </c>
      <c r="G958" s="48"/>
      <c r="H958" s="48"/>
      <c r="I958" s="1317" t="s">
        <v>334</v>
      </c>
      <c r="J958" s="1318"/>
      <c r="K958" s="1318"/>
      <c r="L958" s="1318"/>
      <c r="M958" s="1318"/>
      <c r="N958" s="1318"/>
      <c r="O958" s="1318"/>
      <c r="P958" s="1318"/>
      <c r="Q958" s="1318"/>
      <c r="R958" s="1318"/>
      <c r="S958" s="1318"/>
      <c r="T958" s="1319"/>
      <c r="U958" s="1324" t="s">
        <v>590</v>
      </c>
      <c r="V958" s="1325"/>
      <c r="W958" s="1325"/>
      <c r="X958" s="1325"/>
      <c r="Y958" s="1325"/>
      <c r="Z958" s="1326"/>
      <c r="AA958" s="1286"/>
      <c r="AB958" s="1287"/>
      <c r="AC958" s="1287"/>
      <c r="AD958" s="1287"/>
      <c r="AE958" s="1287"/>
      <c r="AF958" s="1288"/>
      <c r="AU958" s="2"/>
      <c r="AZ958" s="34"/>
      <c r="BA958" s="34"/>
      <c r="BB958" s="34"/>
      <c r="BC958" s="34"/>
    </row>
    <row r="959" spans="6:55" ht="12.95" customHeight="1">
      <c r="F959" s="47" t="s">
        <v>170</v>
      </c>
      <c r="G959" s="48"/>
      <c r="H959" s="48"/>
      <c r="I959" s="1317" t="s">
        <v>334</v>
      </c>
      <c r="J959" s="1318"/>
      <c r="K959" s="1318"/>
      <c r="L959" s="1318"/>
      <c r="M959" s="1318"/>
      <c r="N959" s="1318"/>
      <c r="O959" s="1318"/>
      <c r="P959" s="1318"/>
      <c r="Q959" s="1318"/>
      <c r="R959" s="1318"/>
      <c r="S959" s="1318"/>
      <c r="T959" s="1319"/>
      <c r="U959" s="1324" t="s">
        <v>590</v>
      </c>
      <c r="V959" s="1325"/>
      <c r="W959" s="1325"/>
      <c r="X959" s="1325"/>
      <c r="Y959" s="1325"/>
      <c r="Z959" s="1326"/>
      <c r="AA959" s="1286"/>
      <c r="AB959" s="1287"/>
      <c r="AC959" s="1287"/>
      <c r="AD959" s="1287"/>
      <c r="AE959" s="1287"/>
      <c r="AF959" s="1288"/>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485" t="s">
        <v>590</v>
      </c>
      <c r="N964" s="1486"/>
      <c r="O964" s="1486"/>
      <c r="P964" s="1486"/>
      <c r="Q964" s="1486"/>
      <c r="R964" s="1486"/>
      <c r="S964" s="1487"/>
      <c r="U964" s="66" t="s">
        <v>11</v>
      </c>
      <c r="V964" s="5"/>
      <c r="W964" s="5"/>
      <c r="X964" s="5"/>
      <c r="Y964" s="5"/>
      <c r="Z964" s="5"/>
      <c r="AA964" s="5"/>
      <c r="AB964" s="5"/>
      <c r="AC964" s="5"/>
      <c r="AD964" s="46"/>
      <c r="AE964" s="1485" t="s">
        <v>590</v>
      </c>
      <c r="AF964" s="1486"/>
      <c r="AG964" s="1486"/>
      <c r="AH964" s="1486"/>
      <c r="AI964" s="1486"/>
      <c r="AJ964" s="1486"/>
      <c r="AK964" s="1487"/>
      <c r="AZ964" s="34"/>
      <c r="BA964" s="34"/>
      <c r="BB964" s="34"/>
      <c r="BC964" s="34"/>
    </row>
    <row r="965" spans="1:64" ht="12.95" customHeight="1">
      <c r="C965" s="66" t="s">
        <v>12</v>
      </c>
      <c r="D965" s="5"/>
      <c r="E965" s="5"/>
      <c r="F965" s="5"/>
      <c r="G965" s="5"/>
      <c r="H965" s="5"/>
      <c r="I965" s="5"/>
      <c r="J965" s="5"/>
      <c r="K965" s="5"/>
      <c r="L965" s="46"/>
      <c r="M965" s="1292" t="s">
        <v>590</v>
      </c>
      <c r="N965" s="1293"/>
      <c r="O965" s="1293"/>
      <c r="P965" s="1293"/>
      <c r="Q965" s="1293"/>
      <c r="R965" s="1293"/>
      <c r="S965" s="1294"/>
      <c r="U965" s="66" t="s">
        <v>12</v>
      </c>
      <c r="V965" s="5"/>
      <c r="W965" s="5"/>
      <c r="X965" s="5"/>
      <c r="Y965" s="5"/>
      <c r="Z965" s="5"/>
      <c r="AA965" s="5"/>
      <c r="AB965" s="5"/>
      <c r="AC965" s="5"/>
      <c r="AD965" s="46"/>
      <c r="AE965" s="1292" t="s">
        <v>590</v>
      </c>
      <c r="AF965" s="1293"/>
      <c r="AG965" s="1293"/>
      <c r="AH965" s="1293"/>
      <c r="AI965" s="1293"/>
      <c r="AJ965" s="1293"/>
      <c r="AK965" s="1294"/>
      <c r="AZ965" s="34"/>
      <c r="BA965" s="34"/>
      <c r="BB965" s="34"/>
      <c r="BC965" s="34"/>
    </row>
    <row r="966" spans="1:64" ht="12.95" customHeight="1">
      <c r="C966" s="66" t="s">
        <v>879</v>
      </c>
      <c r="D966" s="5"/>
      <c r="E966" s="5"/>
      <c r="J966" s="1295" t="s">
        <v>307</v>
      </c>
      <c r="K966" s="1296"/>
      <c r="L966" s="1296"/>
      <c r="M966" s="1296"/>
      <c r="N966" s="1296"/>
      <c r="O966" s="1296"/>
      <c r="P966" s="1296"/>
      <c r="Q966" s="1296"/>
      <c r="R966" s="1296"/>
      <c r="S966" s="1297"/>
      <c r="U966" s="66" t="s">
        <v>879</v>
      </c>
      <c r="V966" s="5"/>
      <c r="W966" s="5"/>
      <c r="AB966" s="1295" t="s">
        <v>307</v>
      </c>
      <c r="AC966" s="1296"/>
      <c r="AD966" s="1296"/>
      <c r="AE966" s="1296"/>
      <c r="AF966" s="1296"/>
      <c r="AG966" s="1296"/>
      <c r="AH966" s="1296"/>
      <c r="AI966" s="1296"/>
      <c r="AJ966" s="1296"/>
      <c r="AK966" s="1297"/>
      <c r="AZ966" s="34"/>
      <c r="BA966" s="34"/>
      <c r="BB966" s="34"/>
      <c r="BC966" s="34"/>
    </row>
    <row r="967" spans="1:64" ht="12.95" customHeight="1">
      <c r="C967" s="66" t="s">
        <v>13</v>
      </c>
      <c r="D967" s="5"/>
      <c r="E967" s="5"/>
      <c r="F967" s="5"/>
      <c r="G967" s="5"/>
      <c r="H967" s="5"/>
      <c r="I967" s="5"/>
      <c r="J967" s="5"/>
      <c r="K967" s="5"/>
      <c r="L967" s="46"/>
      <c r="M967" s="1571" t="s">
        <v>590</v>
      </c>
      <c r="N967" s="1545"/>
      <c r="O967" s="1545"/>
      <c r="P967" s="1545"/>
      <c r="Q967" s="1545"/>
      <c r="R967" s="1545"/>
      <c r="S967" s="1546"/>
      <c r="U967" s="66" t="s">
        <v>13</v>
      </c>
      <c r="V967" s="5"/>
      <c r="W967" s="5"/>
      <c r="X967" s="5"/>
      <c r="Y967" s="5"/>
      <c r="Z967" s="5"/>
      <c r="AA967" s="5"/>
      <c r="AB967" s="5"/>
      <c r="AC967" s="5"/>
      <c r="AD967" s="46"/>
      <c r="AE967" s="1544" t="s">
        <v>590</v>
      </c>
      <c r="AF967" s="1545"/>
      <c r="AG967" s="1545"/>
      <c r="AH967" s="1545"/>
      <c r="AI967" s="1545"/>
      <c r="AJ967" s="1545"/>
      <c r="AK967" s="1546"/>
      <c r="AZ967" s="34"/>
      <c r="BA967" s="34"/>
      <c r="BB967" s="34"/>
      <c r="BC967" s="34"/>
    </row>
    <row r="968" spans="1:64" ht="12.95" customHeight="1">
      <c r="C968" s="66" t="s">
        <v>14</v>
      </c>
      <c r="D968" s="5"/>
      <c r="E968" s="5"/>
      <c r="F968" s="5"/>
      <c r="G968" s="5"/>
      <c r="H968" s="5"/>
      <c r="I968" s="5"/>
      <c r="J968" s="5"/>
      <c r="K968" s="5"/>
      <c r="L968" s="46"/>
      <c r="M968" s="1488" t="s">
        <v>590</v>
      </c>
      <c r="N968" s="1489"/>
      <c r="O968" s="1489"/>
      <c r="P968" s="1489"/>
      <c r="Q968" s="1489"/>
      <c r="R968" s="1489"/>
      <c r="S968" s="1490"/>
      <c r="U968" s="66" t="s">
        <v>14</v>
      </c>
      <c r="V968" s="5"/>
      <c r="W968" s="5"/>
      <c r="X968" s="5"/>
      <c r="Y968" s="5"/>
      <c r="Z968" s="5"/>
      <c r="AA968" s="5"/>
      <c r="AB968" s="5"/>
      <c r="AC968" s="5"/>
      <c r="AD968" s="46"/>
      <c r="AE968" s="1488" t="s">
        <v>590</v>
      </c>
      <c r="AF968" s="1489"/>
      <c r="AG968" s="1489"/>
      <c r="AH968" s="1489"/>
      <c r="AI968" s="1489"/>
      <c r="AJ968" s="1489"/>
      <c r="AK968" s="1490"/>
      <c r="AV968" s="2"/>
      <c r="AW968" s="2"/>
      <c r="AX968" s="2"/>
      <c r="AY968" s="2"/>
      <c r="AZ968" s="34"/>
      <c r="BA968" s="34"/>
      <c r="BB968" s="34"/>
      <c r="BC968" s="34"/>
    </row>
    <row r="969" spans="1:64" ht="12.95" customHeight="1">
      <c r="C969" s="66" t="s">
        <v>15</v>
      </c>
      <c r="D969" s="5"/>
      <c r="E969" s="5"/>
      <c r="F969" s="5"/>
      <c r="G969" s="5"/>
      <c r="H969" s="5"/>
      <c r="I969" s="5"/>
      <c r="J969" s="5"/>
      <c r="K969" s="5"/>
      <c r="L969" s="46"/>
      <c r="M969" s="1286" t="s">
        <v>590</v>
      </c>
      <c r="N969" s="1287"/>
      <c r="O969" s="1287"/>
      <c r="P969" s="1287"/>
      <c r="Q969" s="1287"/>
      <c r="R969" s="1287"/>
      <c r="S969" s="1288"/>
      <c r="U969" s="66" t="s">
        <v>15</v>
      </c>
      <c r="V969" s="5"/>
      <c r="W969" s="5"/>
      <c r="X969" s="5"/>
      <c r="Y969" s="5"/>
      <c r="Z969" s="5"/>
      <c r="AA969" s="5"/>
      <c r="AB969" s="5"/>
      <c r="AC969" s="5"/>
      <c r="AD969" s="46"/>
      <c r="AE969" s="1286" t="s">
        <v>590</v>
      </c>
      <c r="AF969" s="1287"/>
      <c r="AG969" s="1287"/>
      <c r="AH969" s="1287"/>
      <c r="AI969" s="1287"/>
      <c r="AJ969" s="1287"/>
      <c r="AK969" s="1288"/>
      <c r="AV969" s="2"/>
      <c r="AW969" s="2"/>
      <c r="AX969" s="2"/>
      <c r="AY969" s="2"/>
      <c r="AZ969" s="34"/>
      <c r="BA969" s="34"/>
      <c r="BB969" s="34"/>
      <c r="BC969" s="34"/>
    </row>
    <row r="970" spans="1:64" ht="12.95" customHeight="1">
      <c r="C970" s="66" t="s">
        <v>16</v>
      </c>
      <c r="D970" s="5"/>
      <c r="E970" s="5"/>
      <c r="F970" s="5"/>
      <c r="G970" s="5"/>
      <c r="H970" s="5"/>
      <c r="I970" s="5"/>
      <c r="J970" s="5"/>
      <c r="K970" s="5"/>
      <c r="L970" s="46"/>
      <c r="M970" s="1286" t="s">
        <v>590</v>
      </c>
      <c r="N970" s="1287"/>
      <c r="O970" s="1287"/>
      <c r="P970" s="1287"/>
      <c r="Q970" s="1287"/>
      <c r="R970" s="1287"/>
      <c r="S970" s="1288"/>
      <c r="U970" s="66" t="s">
        <v>16</v>
      </c>
      <c r="V970" s="5"/>
      <c r="W970" s="5"/>
      <c r="X970" s="5"/>
      <c r="Y970" s="5"/>
      <c r="Z970" s="5"/>
      <c r="AA970" s="5"/>
      <c r="AB970" s="5"/>
      <c r="AC970" s="5"/>
      <c r="AD970" s="46"/>
      <c r="AE970" s="1286" t="s">
        <v>590</v>
      </c>
      <c r="AF970" s="1287"/>
      <c r="AG970" s="1287"/>
      <c r="AH970" s="1287"/>
      <c r="AI970" s="1287"/>
      <c r="AJ970" s="1287"/>
      <c r="AK970" s="1288"/>
      <c r="AV970" s="2"/>
      <c r="AW970" s="2"/>
      <c r="AX970" s="2"/>
      <c r="AY970" s="2"/>
      <c r="AZ970" s="34"/>
      <c r="BB970" s="34"/>
      <c r="BC970" s="34"/>
    </row>
    <row r="971" spans="1:64" ht="12.95" customHeight="1">
      <c r="C971" s="121" t="s">
        <v>1649</v>
      </c>
      <c r="D971" s="5"/>
      <c r="E971" s="5"/>
      <c r="F971" s="5"/>
      <c r="G971" s="5"/>
      <c r="H971" s="5"/>
      <c r="I971" s="5"/>
      <c r="J971" s="5"/>
      <c r="K971" s="5"/>
      <c r="L971" s="46"/>
      <c r="M971" s="1491"/>
      <c r="N971" s="1492"/>
      <c r="O971" s="1492"/>
      <c r="P971" s="1492"/>
      <c r="Q971" s="1492"/>
      <c r="R971" s="1492"/>
      <c r="S971" s="1493"/>
      <c r="U971" s="121" t="s">
        <v>1649</v>
      </c>
      <c r="V971" s="5"/>
      <c r="W971" s="5"/>
      <c r="X971" s="5"/>
      <c r="Y971" s="5"/>
      <c r="Z971" s="5"/>
      <c r="AA971" s="5"/>
      <c r="AB971" s="5"/>
      <c r="AC971" s="5"/>
      <c r="AD971" s="46"/>
      <c r="AE971" s="1491"/>
      <c r="AF971" s="1492"/>
      <c r="AG971" s="1492"/>
      <c r="AH971" s="1492"/>
      <c r="AI971" s="1492"/>
      <c r="AJ971" s="1492"/>
      <c r="AK971" s="1493"/>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289" t="s">
        <v>590</v>
      </c>
      <c r="N976" s="1290"/>
      <c r="O976" s="1290"/>
      <c r="P976" s="1290"/>
      <c r="Q976" s="1290"/>
      <c r="R976" s="1290"/>
      <c r="S976" s="1291"/>
      <c r="T976" s="66" t="s">
        <v>789</v>
      </c>
      <c r="U976" s="5"/>
      <c r="V976" s="5"/>
      <c r="W976" s="5"/>
      <c r="X976" s="5"/>
      <c r="Y976" s="5"/>
      <c r="Z976" s="46"/>
      <c r="AA976" s="1289" t="s">
        <v>590</v>
      </c>
      <c r="AB976" s="1290"/>
      <c r="AC976" s="1290"/>
      <c r="AD976" s="1290"/>
      <c r="AE976" s="1290"/>
      <c r="AF976" s="1290"/>
      <c r="AG976" s="1291"/>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289" t="s">
        <v>590</v>
      </c>
      <c r="N977" s="1290"/>
      <c r="O977" s="1290"/>
      <c r="P977" s="1290"/>
      <c r="Q977" s="1290"/>
      <c r="R977" s="1290"/>
      <c r="S977" s="1291"/>
      <c r="T977" s="66" t="s">
        <v>788</v>
      </c>
      <c r="U977" s="5"/>
      <c r="V977" s="5"/>
      <c r="W977" s="5"/>
      <c r="X977" s="5"/>
      <c r="Y977" s="5"/>
      <c r="Z977" s="46"/>
      <c r="AA977" s="1289" t="s">
        <v>590</v>
      </c>
      <c r="AB977" s="1290"/>
      <c r="AC977" s="1290"/>
      <c r="AD977" s="1290"/>
      <c r="AE977" s="1290"/>
      <c r="AF977" s="1290"/>
      <c r="AG977" s="1291"/>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561" t="s">
        <v>590</v>
      </c>
      <c r="N978" s="1562"/>
      <c r="O978" s="1562"/>
      <c r="P978" s="1562"/>
      <c r="Q978" s="1562"/>
      <c r="R978" s="1562"/>
      <c r="S978" s="1563"/>
      <c r="T978" s="45" t="s">
        <v>337</v>
      </c>
      <c r="U978" s="5"/>
      <c r="V978" s="5"/>
      <c r="W978" s="5"/>
      <c r="X978" s="5"/>
      <c r="Y978" s="5"/>
      <c r="Z978" s="46"/>
      <c r="AA978" s="1289" t="s">
        <v>590</v>
      </c>
      <c r="AB978" s="1290"/>
      <c r="AC978" s="1290"/>
      <c r="AD978" s="1290"/>
      <c r="AE978" s="1290"/>
      <c r="AF978" s="1290"/>
      <c r="AG978" s="1291"/>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289" t="s">
        <v>590</v>
      </c>
      <c r="N979" s="1290"/>
      <c r="O979" s="1290"/>
      <c r="P979" s="1290"/>
      <c r="Q979" s="1290"/>
      <c r="R979" s="1290"/>
      <c r="S979" s="1291"/>
      <c r="T979" s="45" t="s">
        <v>338</v>
      </c>
      <c r="U979" s="5"/>
      <c r="V979" s="5"/>
      <c r="W979" s="5"/>
      <c r="X979" s="5"/>
      <c r="Y979" s="5"/>
      <c r="Z979" s="46"/>
      <c r="AA979" s="1289" t="s">
        <v>590</v>
      </c>
      <c r="AB979" s="1290"/>
      <c r="AC979" s="1290"/>
      <c r="AD979" s="1290"/>
      <c r="AE979" s="1290"/>
      <c r="AF979" s="1290"/>
      <c r="AG979" s="1291"/>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289" t="s">
        <v>590</v>
      </c>
      <c r="N980" s="1290"/>
      <c r="O980" s="1290"/>
      <c r="P980" s="1290"/>
      <c r="Q980" s="1290"/>
      <c r="R980" s="1290"/>
      <c r="S980" s="1291"/>
      <c r="T980" s="45" t="s">
        <v>376</v>
      </c>
      <c r="U980" s="5"/>
      <c r="V980" s="5"/>
      <c r="W980" s="5"/>
      <c r="X980" s="5"/>
      <c r="Y980" s="5"/>
      <c r="Z980" s="46"/>
      <c r="AA980" s="1289" t="s">
        <v>590</v>
      </c>
      <c r="AB980" s="1290"/>
      <c r="AC980" s="1290"/>
      <c r="AD980" s="1290"/>
      <c r="AE980" s="1290"/>
      <c r="AF980" s="1290"/>
      <c r="AG980" s="1291"/>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295" t="s">
        <v>307</v>
      </c>
      <c r="N981" s="1296"/>
      <c r="O981" s="1296"/>
      <c r="P981" s="1296"/>
      <c r="Q981" s="1296"/>
      <c r="R981" s="1296"/>
      <c r="S981" s="1297"/>
      <c r="T981" s="1299"/>
      <c r="U981" s="1300"/>
      <c r="V981" s="1300"/>
      <c r="W981" s="1300"/>
      <c r="X981" s="1300"/>
      <c r="Y981" s="1300"/>
      <c r="Z981" s="1301"/>
      <c r="AA981" s="1289" t="s">
        <v>590</v>
      </c>
      <c r="AB981" s="1290"/>
      <c r="AC981" s="1290"/>
      <c r="AD981" s="1290"/>
      <c r="AE981" s="1290"/>
      <c r="AF981" s="1290"/>
      <c r="AG981" s="1291"/>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289" t="s">
        <v>590</v>
      </c>
      <c r="N982" s="1290"/>
      <c r="O982" s="1290"/>
      <c r="P982" s="1290"/>
      <c r="Q982" s="1290"/>
      <c r="R982" s="1290"/>
      <c r="S982" s="1291"/>
      <c r="T982" s="1299"/>
      <c r="U982" s="1300"/>
      <c r="V982" s="1300"/>
      <c r="W982" s="1300"/>
      <c r="X982" s="1300"/>
      <c r="Y982" s="1300"/>
      <c r="Z982" s="1301"/>
      <c r="AA982" s="1289" t="s">
        <v>590</v>
      </c>
      <c r="AB982" s="1290"/>
      <c r="AC982" s="1290"/>
      <c r="AD982" s="1290"/>
      <c r="AE982" s="1290"/>
      <c r="AF982" s="1290"/>
      <c r="AG982" s="1291"/>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472" t="s">
        <v>668</v>
      </c>
      <c r="P983" s="1473"/>
      <c r="Q983" s="92"/>
      <c r="R983" s="92"/>
      <c r="S983" s="93"/>
      <c r="T983" s="41" t="s">
        <v>170</v>
      </c>
      <c r="U983" s="42"/>
      <c r="V983" s="42"/>
      <c r="W983" s="1538" t="s">
        <v>590</v>
      </c>
      <c r="X983" s="1539"/>
      <c r="Y983" s="1539"/>
      <c r="Z983" s="1539"/>
      <c r="AA983" s="1539"/>
      <c r="AB983" s="1539"/>
      <c r="AC983" s="1539"/>
      <c r="AD983" s="1539"/>
      <c r="AE983" s="1539"/>
      <c r="AF983" s="1539"/>
      <c r="AG983" s="1540"/>
      <c r="AU983" s="68"/>
      <c r="AV983" s="95"/>
      <c r="AW983" s="95"/>
      <c r="AX983" s="95"/>
      <c r="AY983" s="95"/>
      <c r="AZ983" s="34"/>
      <c r="BB983" s="34"/>
      <c r="BC983" s="34"/>
      <c r="BD983" s="34"/>
      <c r="BE983" s="34"/>
      <c r="BF983" s="34"/>
      <c r="BG983" s="34"/>
      <c r="BH983" s="34"/>
      <c r="BI983" s="34"/>
      <c r="BJ983" s="34"/>
      <c r="BK983" s="34"/>
      <c r="BL983" s="34"/>
    </row>
    <row r="984" spans="1:64" ht="12.95" customHeight="1">
      <c r="F984" s="1495" t="s">
        <v>33</v>
      </c>
      <c r="G984" s="1376"/>
      <c r="H984" s="1376"/>
      <c r="I984" s="1376"/>
      <c r="J984" s="1376"/>
      <c r="K984" s="1376"/>
      <c r="L984" s="1376"/>
      <c r="M984" s="1289" t="s">
        <v>590</v>
      </c>
      <c r="N984" s="1290"/>
      <c r="O984" s="1290"/>
      <c r="P984" s="1290"/>
      <c r="Q984" s="1290"/>
      <c r="R984" s="1290"/>
      <c r="S984" s="1291"/>
      <c r="T984" s="47"/>
      <c r="U984" s="48"/>
      <c r="V984" s="48"/>
      <c r="W984" s="48"/>
      <c r="X984" s="48"/>
      <c r="Y984" s="48"/>
      <c r="Z984" s="124" t="s">
        <v>134</v>
      </c>
      <c r="AA984" s="1575" t="s">
        <v>590</v>
      </c>
      <c r="AB984" s="1576"/>
      <c r="AC984" s="1576"/>
      <c r="AD984" s="1576"/>
      <c r="AE984" s="1576"/>
      <c r="AF984" s="1576"/>
      <c r="AG984" s="1577"/>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591"/>
      <c r="BH985" s="1591"/>
      <c r="BI985" s="1591"/>
      <c r="BJ985" s="1591"/>
      <c r="BK985" s="1591"/>
      <c r="BL985" s="1591"/>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278" t="s">
        <v>547</v>
      </c>
      <c r="B988" s="1278"/>
      <c r="C988" s="1278"/>
      <c r="D988" s="1278"/>
      <c r="E988" s="1278"/>
      <c r="F988" s="1278"/>
      <c r="G988" s="1278"/>
      <c r="H988" s="1278"/>
      <c r="I988" s="1278"/>
      <c r="J988" s="1278"/>
      <c r="K988" s="1278"/>
      <c r="L988" s="1278"/>
      <c r="M988" s="1278"/>
      <c r="N988" s="1278"/>
      <c r="O988" s="1278"/>
      <c r="P988" s="1278"/>
      <c r="Q988" s="1278"/>
      <c r="R988" s="1278"/>
      <c r="S988" s="1278"/>
      <c r="T988" s="1278"/>
      <c r="U988" s="1278"/>
      <c r="V988" s="1278"/>
      <c r="W988" s="1278"/>
      <c r="X988" s="1278"/>
      <c r="Y988" s="1278"/>
      <c r="Z988" s="1278"/>
      <c r="AA988" s="1278"/>
      <c r="AB988" s="1278"/>
      <c r="AC988" s="1278"/>
      <c r="AD988" s="1278"/>
      <c r="AE988" s="1278"/>
      <c r="AF988" s="1278"/>
      <c r="AG988" s="1278"/>
      <c r="AH988" s="1278"/>
      <c r="AI988" s="1278"/>
      <c r="AJ988" s="1278"/>
      <c r="AK988" s="1278"/>
      <c r="AL988" s="1278"/>
      <c r="AM988" s="1278"/>
      <c r="AN988" s="1278"/>
      <c r="AO988" s="1278"/>
      <c r="AP988" s="1278"/>
      <c r="AQ988" s="1278"/>
      <c r="AR988" s="1278"/>
      <c r="AS988" s="1278"/>
      <c r="AT988" s="1278"/>
      <c r="AU988" s="68"/>
      <c r="AV988" s="68"/>
      <c r="AW988" s="68"/>
      <c r="AX988" s="68"/>
      <c r="AY988" s="68"/>
      <c r="AZ988" s="14"/>
      <c r="BA988" s="14"/>
      <c r="BB988" s="908"/>
      <c r="BC988" s="908"/>
    </row>
    <row r="989" spans="1:64" ht="12.95" customHeight="1">
      <c r="A989" s="1278"/>
      <c r="B989" s="1278"/>
      <c r="C989" s="1278"/>
      <c r="D989" s="1278"/>
      <c r="E989" s="1278"/>
      <c r="F989" s="1278"/>
      <c r="G989" s="1278"/>
      <c r="H989" s="1278"/>
      <c r="I989" s="1278"/>
      <c r="J989" s="1278"/>
      <c r="K989" s="1278"/>
      <c r="L989" s="1278"/>
      <c r="M989" s="1278"/>
      <c r="N989" s="1278"/>
      <c r="O989" s="1278"/>
      <c r="P989" s="1278"/>
      <c r="Q989" s="1278"/>
      <c r="R989" s="1278"/>
      <c r="S989" s="1278"/>
      <c r="T989" s="1278"/>
      <c r="U989" s="1278"/>
      <c r="V989" s="1278"/>
      <c r="W989" s="1278"/>
      <c r="X989" s="1278"/>
      <c r="Y989" s="1278"/>
      <c r="Z989" s="1278"/>
      <c r="AA989" s="1278"/>
      <c r="AB989" s="1278"/>
      <c r="AC989" s="1278"/>
      <c r="AD989" s="1278"/>
      <c r="AE989" s="1278"/>
      <c r="AF989" s="1278"/>
      <c r="AG989" s="1278"/>
      <c r="AH989" s="1278"/>
      <c r="AI989" s="1278"/>
      <c r="AJ989" s="1278"/>
      <c r="AK989" s="1278"/>
      <c r="AL989" s="1278"/>
      <c r="AM989" s="1278"/>
      <c r="AN989" s="1278"/>
      <c r="AO989" s="1278"/>
      <c r="AP989" s="1278"/>
      <c r="AQ989" s="1278"/>
      <c r="AR989" s="1278"/>
      <c r="AS989" s="1278"/>
      <c r="AT989" s="1278"/>
      <c r="AU989" s="68"/>
      <c r="AV989" s="68"/>
      <c r="AW989" s="68"/>
      <c r="AX989" s="68"/>
      <c r="AY989" s="68"/>
      <c r="AZ989" s="30"/>
      <c r="BA989" s="14"/>
      <c r="BB989" s="14"/>
      <c r="BC989" s="14"/>
    </row>
    <row r="990" spans="1:64" ht="12.95" customHeight="1">
      <c r="A990" s="1278"/>
      <c r="B990" s="1278"/>
      <c r="C990" s="1278"/>
      <c r="D990" s="1278"/>
      <c r="E990" s="1278"/>
      <c r="F990" s="1278"/>
      <c r="G990" s="1278"/>
      <c r="H990" s="1278"/>
      <c r="I990" s="1278"/>
      <c r="J990" s="1278"/>
      <c r="K990" s="1278"/>
      <c r="L990" s="1278"/>
      <c r="M990" s="1278"/>
      <c r="N990" s="1278"/>
      <c r="O990" s="1278"/>
      <c r="P990" s="1278"/>
      <c r="Q990" s="1278"/>
      <c r="R990" s="1278"/>
      <c r="S990" s="1278"/>
      <c r="T990" s="1278"/>
      <c r="U990" s="1278"/>
      <c r="V990" s="1278"/>
      <c r="W990" s="1278"/>
      <c r="X990" s="1278"/>
      <c r="Y990" s="1278"/>
      <c r="Z990" s="1278"/>
      <c r="AA990" s="1278"/>
      <c r="AB990" s="1278"/>
      <c r="AC990" s="1278"/>
      <c r="AD990" s="1278"/>
      <c r="AE990" s="1278"/>
      <c r="AF990" s="1278"/>
      <c r="AG990" s="1278"/>
      <c r="AH990" s="1278"/>
      <c r="AI990" s="1278"/>
      <c r="AJ990" s="1278"/>
      <c r="AK990" s="1278"/>
      <c r="AL990" s="1278"/>
      <c r="AM990" s="1278"/>
      <c r="AN990" s="1278"/>
      <c r="AO990" s="1278"/>
      <c r="AP990" s="1278"/>
      <c r="AQ990" s="1278"/>
      <c r="AR990" s="1278"/>
      <c r="AS990" s="1278"/>
      <c r="AT990" s="1278"/>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345" t="s">
        <v>637</v>
      </c>
      <c r="E994" s="1346"/>
      <c r="F994" s="1346"/>
      <c r="G994" s="1346"/>
      <c r="H994" s="1346"/>
      <c r="I994" s="1346"/>
      <c r="J994" s="1346"/>
      <c r="K994" s="1346"/>
      <c r="L994" s="1346"/>
      <c r="M994" s="1346"/>
      <c r="N994" s="1346"/>
      <c r="O994" s="1346"/>
      <c r="P994" s="1346"/>
      <c r="Q994" s="1347"/>
      <c r="R994" s="1345" t="s">
        <v>638</v>
      </c>
      <c r="S994" s="1346"/>
      <c r="T994" s="1346"/>
      <c r="U994" s="1346"/>
      <c r="V994" s="1346"/>
      <c r="W994" s="1346"/>
      <c r="X994" s="1346"/>
      <c r="Y994" s="1346"/>
      <c r="Z994" s="1346"/>
      <c r="AA994" s="1347"/>
      <c r="AB994" s="1345" t="s">
        <v>639</v>
      </c>
      <c r="AC994" s="1346"/>
      <c r="AD994" s="1346"/>
      <c r="AE994" s="1346"/>
      <c r="AF994" s="1346"/>
      <c r="AG994" s="1346"/>
      <c r="AH994" s="1346"/>
      <c r="AI994" s="1347"/>
      <c r="AJ994" s="1345" t="s">
        <v>640</v>
      </c>
      <c r="AK994" s="1346"/>
      <c r="AL994" s="1346"/>
      <c r="AM994" s="1346"/>
      <c r="AN994" s="1346"/>
      <c r="AO994" s="1346"/>
      <c r="AP994" s="1346"/>
      <c r="AQ994" s="1347"/>
      <c r="AR994" s="68"/>
      <c r="AS994" s="68"/>
      <c r="AT994" s="68"/>
      <c r="AU994" s="68"/>
      <c r="AV994" s="68"/>
      <c r="AW994" s="68"/>
      <c r="AX994" s="68"/>
      <c r="AY994" s="68"/>
      <c r="AZ994" s="30"/>
      <c r="BB994" s="14"/>
      <c r="BC994" s="14"/>
    </row>
    <row r="995" spans="1:55" ht="12.95" customHeight="1">
      <c r="A995" s="14"/>
      <c r="B995" s="73"/>
      <c r="C995" s="925"/>
      <c r="D995" s="1361" t="s">
        <v>632</v>
      </c>
      <c r="E995" s="1362"/>
      <c r="F995" s="1362"/>
      <c r="G995" s="1362"/>
      <c r="H995" s="1362"/>
      <c r="I995" s="1362"/>
      <c r="J995" s="1362"/>
      <c r="K995" s="1362"/>
      <c r="L995" s="1362"/>
      <c r="M995" s="1362"/>
      <c r="N995" s="1362"/>
      <c r="O995" s="1362"/>
      <c r="P995" s="1362"/>
      <c r="Q995" s="1363"/>
      <c r="R995" s="1360">
        <f>IF(ISNA(IF($CU$122="4%",(INDEX($CS$160:$CW$217,MATCH($DG$122,$CR$160:$CR$217,0),MATCH(D995,$CS$159:$CW$159,0))),(INDEX($CZ$160:$DD$217,MATCH($DG$122,$CY$160:$CY$217,0),MATCH(D995,$CZ$159:$DD$159,0))))),0,IF($CU$122="4%",(INDEX($CS$160:$CW$217,MATCH($DG$122,$CR$160:$CR$217,0),MATCH(D995,$CS$159:$CW$159,0))),(INDEX($CZ$160:$DD$217,MATCH($DG$122,$CY$160:$CY$217,0),MATCH(D995,$CZ$159:$DD$159,0)))))</f>
        <v>437727</v>
      </c>
      <c r="S995" s="1360"/>
      <c r="T995" s="1360"/>
      <c r="U995" s="1360"/>
      <c r="V995" s="1360"/>
      <c r="W995" s="1360"/>
      <c r="X995" s="1360"/>
      <c r="Y995" s="1360"/>
      <c r="Z995" s="1360"/>
      <c r="AA995" s="1360"/>
      <c r="AB995" s="1482">
        <f>CP810</f>
        <v>4</v>
      </c>
      <c r="AC995" s="1483"/>
      <c r="AD995" s="1483"/>
      <c r="AE995" s="1483"/>
      <c r="AF995" s="1483"/>
      <c r="AG995" s="1483"/>
      <c r="AH995" s="1483"/>
      <c r="AI995" s="1484"/>
      <c r="AJ995" s="1508">
        <f>IF(ISERROR((R995*AB995)),0,(R995*AB995))</f>
        <v>1750908</v>
      </c>
      <c r="AK995" s="1509"/>
      <c r="AL995" s="1509"/>
      <c r="AM995" s="1509"/>
      <c r="AN995" s="1509"/>
      <c r="AO995" s="1509"/>
      <c r="AP995" s="1509"/>
      <c r="AQ995" s="1510"/>
      <c r="AR995" s="68"/>
      <c r="AS995" s="68"/>
      <c r="AT995" s="68"/>
      <c r="AU995" s="68"/>
      <c r="AV995" s="68"/>
      <c r="AW995" s="68"/>
      <c r="AX995" s="68"/>
      <c r="AY995" s="68"/>
      <c r="AZ995" s="30"/>
      <c r="BB995" s="14"/>
      <c r="BC995" s="14"/>
    </row>
    <row r="996" spans="1:55" ht="12.95" customHeight="1">
      <c r="A996" s="14"/>
      <c r="B996" s="73"/>
      <c r="C996" s="83"/>
      <c r="D996" s="1361" t="s">
        <v>325</v>
      </c>
      <c r="E996" s="1362"/>
      <c r="F996" s="1362"/>
      <c r="G996" s="1362"/>
      <c r="H996" s="1362"/>
      <c r="I996" s="1362"/>
      <c r="J996" s="1362"/>
      <c r="K996" s="1362"/>
      <c r="L996" s="1362"/>
      <c r="M996" s="1362"/>
      <c r="N996" s="1362"/>
      <c r="O996" s="1362"/>
      <c r="P996" s="1362"/>
      <c r="Q996" s="1363"/>
      <c r="R996" s="1360">
        <f>IF(ISNA(IF($CU$122="4%",(INDEX($CS$160:$CW$217,MATCH($DG$122,$CR$160:$CR$217,0),MATCH(D996,$CS$159:$CW$159,0))),(INDEX($CZ$160:$DD$217,MATCH($DG$122,$CY$160:$CY$217,0),MATCH(D996,$CZ$159:$DD$159,0))))),0,IF($CU$122="4%",(INDEX($CS$160:$CW$217,MATCH($DG$122,$CR$160:$CR$217,0),MATCH(D996,$CS$159:$CW$159,0))),(INDEX($CZ$160:$DD$217,MATCH($DG$122,$CY$160:$CY$217,0),MATCH(D996,$CZ$159:$DD$159,0)))))</f>
        <v>504695</v>
      </c>
      <c r="S996" s="1360"/>
      <c r="T996" s="1360"/>
      <c r="U996" s="1360"/>
      <c r="V996" s="1360"/>
      <c r="W996" s="1360"/>
      <c r="X996" s="1360"/>
      <c r="Y996" s="1360"/>
      <c r="Z996" s="1360"/>
      <c r="AA996" s="1360"/>
      <c r="AB996" s="1482">
        <f>CU810</f>
        <v>79</v>
      </c>
      <c r="AC996" s="1483"/>
      <c r="AD996" s="1483"/>
      <c r="AE996" s="1483"/>
      <c r="AF996" s="1483"/>
      <c r="AG996" s="1483"/>
      <c r="AH996" s="1483"/>
      <c r="AI996" s="1484"/>
      <c r="AJ996" s="1508">
        <f>IF(ISERROR((R996*AB996)),0,(R996*AB996))</f>
        <v>39870905</v>
      </c>
      <c r="AK996" s="1509"/>
      <c r="AL996" s="1509"/>
      <c r="AM996" s="1509"/>
      <c r="AN996" s="1509"/>
      <c r="AO996" s="1509"/>
      <c r="AP996" s="1509"/>
      <c r="AQ996" s="1510"/>
      <c r="AR996" s="68"/>
      <c r="AS996" s="68"/>
      <c r="AT996" s="68"/>
      <c r="AU996" s="68"/>
      <c r="AV996" s="68"/>
      <c r="AW996" s="68"/>
      <c r="AX996" s="68"/>
      <c r="AY996" s="68"/>
      <c r="AZ996" s="30"/>
      <c r="BB996" s="14"/>
      <c r="BC996" s="14"/>
    </row>
    <row r="997" spans="1:55" ht="12.95" customHeight="1">
      <c r="A997" s="14"/>
      <c r="B997" s="73"/>
      <c r="C997" s="83"/>
      <c r="D997" s="1361" t="s">
        <v>163</v>
      </c>
      <c r="E997" s="1362"/>
      <c r="F997" s="1362"/>
      <c r="G997" s="1362"/>
      <c r="H997" s="1362"/>
      <c r="I997" s="1362"/>
      <c r="J997" s="1362"/>
      <c r="K997" s="1362"/>
      <c r="L997" s="1362"/>
      <c r="M997" s="1362"/>
      <c r="N997" s="1362"/>
      <c r="O997" s="1362"/>
      <c r="P997" s="1362"/>
      <c r="Q997" s="1363"/>
      <c r="R997" s="1360">
        <f>IF(ISNA(IF($CU$122="4%",(INDEX($CS$160:$CW$217,MATCH($DG$122,$CR$160:$CR$217,0),MATCH(D997,$CS$159:$CW$159,0))),(INDEX($CZ$160:$DD$217,MATCH($DG$122,$CY$160:$CY$217,0),MATCH(D997,$CZ$159:$DD$159,0))))),0,IF($CU$122="4%",(INDEX($CS$160:$CW$217,MATCH($DG$122,$CR$160:$CR$217,0),MATCH(D997,$CS$159:$CW$159,0))),(INDEX($CZ$160:$DD$217,MATCH($DG$122,$CY$160:$CY$217,0),MATCH(D997,$CZ$159:$DD$159,0)))))</f>
        <v>608800</v>
      </c>
      <c r="S997" s="1360"/>
      <c r="T997" s="1360"/>
      <c r="U997" s="1360"/>
      <c r="V997" s="1360"/>
      <c r="W997" s="1360"/>
      <c r="X997" s="1360"/>
      <c r="Y997" s="1360"/>
      <c r="Z997" s="1360"/>
      <c r="AA997" s="1360"/>
      <c r="AB997" s="1482">
        <f>CZ810</f>
        <v>122</v>
      </c>
      <c r="AC997" s="1483"/>
      <c r="AD997" s="1483"/>
      <c r="AE997" s="1483"/>
      <c r="AF997" s="1483"/>
      <c r="AG997" s="1483"/>
      <c r="AH997" s="1483"/>
      <c r="AI997" s="1484"/>
      <c r="AJ997" s="1508">
        <f>IF(ISERROR((R997*AB997)),0,(R997*AB997))</f>
        <v>74273600</v>
      </c>
      <c r="AK997" s="1509"/>
      <c r="AL997" s="1509"/>
      <c r="AM997" s="1509"/>
      <c r="AN997" s="1509"/>
      <c r="AO997" s="1509"/>
      <c r="AP997" s="1509"/>
      <c r="AQ997" s="1510"/>
      <c r="AR997" s="68"/>
      <c r="AS997" s="68"/>
      <c r="AT997" s="68"/>
      <c r="AU997" s="68"/>
      <c r="AV997" s="68"/>
      <c r="AW997" s="68"/>
      <c r="AX997" s="68"/>
      <c r="AY997" s="68"/>
      <c r="AZ997" s="30"/>
      <c r="BB997" s="14"/>
      <c r="BC997" s="14"/>
    </row>
    <row r="998" spans="1:55" ht="12.95" customHeight="1">
      <c r="A998" s="14"/>
      <c r="B998" s="73"/>
      <c r="C998" s="83"/>
      <c r="D998" s="1361" t="s">
        <v>164</v>
      </c>
      <c r="E998" s="1362"/>
      <c r="F998" s="1362"/>
      <c r="G998" s="1362"/>
      <c r="H998" s="1362"/>
      <c r="I998" s="1362"/>
      <c r="J998" s="1362"/>
      <c r="K998" s="1362"/>
      <c r="L998" s="1362"/>
      <c r="M998" s="1362"/>
      <c r="N998" s="1362"/>
      <c r="O998" s="1362"/>
      <c r="P998" s="1362"/>
      <c r="Q998" s="1363"/>
      <c r="R998" s="1360">
        <f>IF(ISNA(IF($CU$122="4%",(INDEX($CS$160:$CW$217,MATCH($DG$122,$CR$160:$CR$217,0),MATCH(D998,$CS$159:$CW$159,0))),(INDEX($CZ$160:$DD$217,MATCH($DG$122,$CY$160:$CY$217,0),MATCH(D998,$CZ$159:$DD$159,0))))),0,IF($CU$122="4%",(INDEX($CS$160:$CW$217,MATCH($DG$122,$CR$160:$CR$217,0),MATCH(D998,$CS$159:$CW$159,0))),(INDEX($CZ$160:$DD$217,MATCH($DG$122,$CY$160:$CY$217,0),MATCH(D998,$CZ$159:$DD$159,0)))))</f>
        <v>779264</v>
      </c>
      <c r="S998" s="1360"/>
      <c r="T998" s="1360"/>
      <c r="U998" s="1360"/>
      <c r="V998" s="1360"/>
      <c r="W998" s="1360"/>
      <c r="X998" s="1360"/>
      <c r="Y998" s="1360"/>
      <c r="Z998" s="1360"/>
      <c r="AA998" s="1360"/>
      <c r="AB998" s="1482">
        <f>DE810</f>
        <v>0</v>
      </c>
      <c r="AC998" s="1483"/>
      <c r="AD998" s="1483"/>
      <c r="AE998" s="1483"/>
      <c r="AF998" s="1483"/>
      <c r="AG998" s="1483"/>
      <c r="AH998" s="1483"/>
      <c r="AI998" s="1484"/>
      <c r="AJ998" s="1508">
        <f>IF(ISERROR((R998*AB998)),0,(R998*AB998))</f>
        <v>0</v>
      </c>
      <c r="AK998" s="1509"/>
      <c r="AL998" s="1509"/>
      <c r="AM998" s="1509"/>
      <c r="AN998" s="1509"/>
      <c r="AO998" s="1509"/>
      <c r="AP998" s="1509"/>
      <c r="AQ998" s="1510"/>
      <c r="AR998" s="68"/>
      <c r="AS998" s="68"/>
      <c r="AT998" s="68"/>
      <c r="AU998" s="68"/>
      <c r="AV998" s="68"/>
      <c r="AW998" s="68"/>
      <c r="AX998" s="68"/>
      <c r="AY998" s="68"/>
      <c r="AZ998" s="30"/>
      <c r="BA998" s="34"/>
      <c r="BB998" s="14"/>
      <c r="BC998" s="14"/>
    </row>
    <row r="999" spans="1:55" ht="12.95" customHeight="1">
      <c r="A999" s="14"/>
      <c r="B999" s="47"/>
      <c r="C999" s="78"/>
      <c r="D999" s="1361" t="s">
        <v>459</v>
      </c>
      <c r="E999" s="1362"/>
      <c r="F999" s="1362"/>
      <c r="G999" s="1362"/>
      <c r="H999" s="1362"/>
      <c r="I999" s="1362"/>
      <c r="J999" s="1362"/>
      <c r="K999" s="1362"/>
      <c r="L999" s="1362"/>
      <c r="M999" s="1362"/>
      <c r="N999" s="1362"/>
      <c r="O999" s="1362"/>
      <c r="P999" s="1362"/>
      <c r="Q999" s="1363"/>
      <c r="R999" s="1360">
        <f>IF(ISNA(IF($CU$122="4%",(INDEX($CS$160:$CW$217,MATCH($DG$122,$CR$160:$CR$217,0),MATCH(D999,$CS$159:$CW$159,0))),(INDEX($CZ$160:$DD$217,MATCH($DG$122,$CY$160:$CY$217,0),MATCH(D999,$CZ$159:$DD$159,0))))),0,IF($CU$122="4%",(INDEX($CS$160:$CW$217,MATCH($DG$122,$CR$160:$CR$217,0),MATCH(D999,$CS$159:$CW$159,0))),(INDEX($CZ$160:$DD$217,MATCH($DG$122,$CY$160:$CY$217,0),MATCH(D999,$CZ$159:$DD$159,0)))))</f>
        <v>868149</v>
      </c>
      <c r="S999" s="1360"/>
      <c r="T999" s="1360"/>
      <c r="U999" s="1360"/>
      <c r="V999" s="1360"/>
      <c r="W999" s="1360"/>
      <c r="X999" s="1360"/>
      <c r="Y999" s="1360"/>
      <c r="Z999" s="1360"/>
      <c r="AA999" s="1360"/>
      <c r="AB999" s="1482">
        <f>DO810+DJ810</f>
        <v>0</v>
      </c>
      <c r="AC999" s="1483"/>
      <c r="AD999" s="1483"/>
      <c r="AE999" s="1483"/>
      <c r="AF999" s="1483"/>
      <c r="AG999" s="1483"/>
      <c r="AH999" s="1483"/>
      <c r="AI999" s="1484"/>
      <c r="AJ999" s="1508">
        <f>IF(ISERROR((R999*AB999)),0,(R999*AB999))</f>
        <v>0</v>
      </c>
      <c r="AK999" s="1509"/>
      <c r="AL999" s="1509"/>
      <c r="AM999" s="1509"/>
      <c r="AN999" s="1509"/>
      <c r="AO999" s="1509"/>
      <c r="AP999" s="1509"/>
      <c r="AQ999" s="1510"/>
      <c r="AR999" s="68"/>
      <c r="AS999" s="68"/>
      <c r="AT999" s="68"/>
      <c r="AU999" s="68"/>
      <c r="AV999" s="68"/>
      <c r="AW999" s="68"/>
      <c r="AX999" s="68"/>
      <c r="AY999" s="68"/>
      <c r="AZ999" s="30"/>
      <c r="BB999" s="14"/>
      <c r="BC999" s="14"/>
    </row>
    <row r="1000" spans="1:55" ht="12.95" customHeight="1">
      <c r="A1000" s="14"/>
      <c r="B1000" s="1502" t="s">
        <v>790</v>
      </c>
      <c r="C1000" s="1503"/>
      <c r="D1000" s="1503"/>
      <c r="E1000" s="1503"/>
      <c r="F1000" s="1503"/>
      <c r="G1000" s="1503"/>
      <c r="H1000" s="1503"/>
      <c r="I1000" s="1503"/>
      <c r="J1000" s="1503"/>
      <c r="K1000" s="1503"/>
      <c r="L1000" s="1503"/>
      <c r="M1000" s="1503"/>
      <c r="N1000" s="1503"/>
      <c r="O1000" s="1503"/>
      <c r="P1000" s="1503"/>
      <c r="Q1000" s="1503"/>
      <c r="R1000" s="1503"/>
      <c r="S1000" s="1503"/>
      <c r="T1000" s="1503"/>
      <c r="U1000" s="1503"/>
      <c r="V1000" s="1503"/>
      <c r="W1000" s="1503"/>
      <c r="X1000" s="1503"/>
      <c r="Y1000" s="1503"/>
      <c r="Z1000" s="1503"/>
      <c r="AA1000" s="1504"/>
      <c r="AB1000" s="1482">
        <f>SUM(AB995:AI999)</f>
        <v>205</v>
      </c>
      <c r="AC1000" s="1483"/>
      <c r="AD1000" s="1483"/>
      <c r="AE1000" s="1483"/>
      <c r="AF1000" s="1483"/>
      <c r="AG1000" s="1483"/>
      <c r="AH1000" s="1483"/>
      <c r="AI1000" s="1484"/>
      <c r="AJ1000" s="1508"/>
      <c r="AK1000" s="1509"/>
      <c r="AL1000" s="1509"/>
      <c r="AM1000" s="1509"/>
      <c r="AN1000" s="1509"/>
      <c r="AO1000" s="1509"/>
      <c r="AP1000" s="1509"/>
      <c r="AQ1000" s="1510"/>
      <c r="AR1000" s="68"/>
      <c r="AS1000" s="68"/>
      <c r="AT1000" s="68"/>
      <c r="AU1000" s="68"/>
      <c r="AV1000" s="68"/>
      <c r="AW1000" s="68"/>
      <c r="AX1000" s="68"/>
      <c r="AY1000" s="68"/>
      <c r="AZ1000" s="34"/>
      <c r="BA1000" s="34"/>
      <c r="BB1000" s="14"/>
      <c r="BC1000" s="14"/>
    </row>
    <row r="1001" spans="1:55" ht="12.95" customHeight="1">
      <c r="A1001" s="14"/>
      <c r="B1001" s="1541" t="s">
        <v>511</v>
      </c>
      <c r="C1001" s="1542"/>
      <c r="D1001" s="1542"/>
      <c r="E1001" s="1542"/>
      <c r="F1001" s="1542"/>
      <c r="G1001" s="1542"/>
      <c r="H1001" s="1542"/>
      <c r="I1001" s="1542"/>
      <c r="J1001" s="1542"/>
      <c r="K1001" s="1542"/>
      <c r="L1001" s="1542"/>
      <c r="M1001" s="1542"/>
      <c r="N1001" s="1542"/>
      <c r="O1001" s="1542"/>
      <c r="P1001" s="1542"/>
      <c r="Q1001" s="1542"/>
      <c r="R1001" s="1542"/>
      <c r="S1001" s="1542"/>
      <c r="T1001" s="1542"/>
      <c r="U1001" s="1542"/>
      <c r="V1001" s="1542"/>
      <c r="W1001" s="1542"/>
      <c r="X1001" s="1542"/>
      <c r="Y1001" s="1542"/>
      <c r="Z1001" s="1542"/>
      <c r="AA1001" s="1542"/>
      <c r="AB1001" s="1542"/>
      <c r="AC1001" s="1542"/>
      <c r="AD1001" s="1542"/>
      <c r="AE1001" s="1542"/>
      <c r="AF1001" s="1542"/>
      <c r="AG1001" s="1542"/>
      <c r="AH1001" s="1542"/>
      <c r="AI1001" s="1543"/>
      <c r="AJ1001" s="1508">
        <f>SUM(AJ995:AQ999)</f>
        <v>115895413</v>
      </c>
      <c r="AK1001" s="1509"/>
      <c r="AL1001" s="1509"/>
      <c r="AM1001" s="1509"/>
      <c r="AN1001" s="1509"/>
      <c r="AO1001" s="1509"/>
      <c r="AP1001" s="1509"/>
      <c r="AQ1001" s="1510"/>
      <c r="AR1001" s="68"/>
      <c r="AS1001" s="68"/>
      <c r="AT1001" s="68"/>
      <c r="AU1001" s="68"/>
      <c r="AV1001" s="68"/>
      <c r="AW1001" s="68"/>
      <c r="AX1001" s="68"/>
      <c r="AY1001" s="68"/>
      <c r="AZ1001" s="34"/>
      <c r="BB1001" s="34"/>
      <c r="BC1001" s="34"/>
    </row>
    <row r="1002" spans="1:55" ht="12.95" customHeight="1">
      <c r="A1002" s="14"/>
      <c r="B1002" s="1505"/>
      <c r="C1002" s="1506"/>
      <c r="D1002" s="1506"/>
      <c r="E1002" s="1506"/>
      <c r="F1002" s="1506"/>
      <c r="G1002" s="1506"/>
      <c r="H1002" s="1506"/>
      <c r="I1002" s="1506"/>
      <c r="J1002" s="1506"/>
      <c r="K1002" s="1506"/>
      <c r="L1002" s="1506"/>
      <c r="M1002" s="1506"/>
      <c r="N1002" s="1506"/>
      <c r="O1002" s="1506"/>
      <c r="P1002" s="1506"/>
      <c r="Q1002" s="1506"/>
      <c r="R1002" s="1506"/>
      <c r="S1002" s="1506"/>
      <c r="T1002" s="1506"/>
      <c r="U1002" s="1506"/>
      <c r="V1002" s="1506"/>
      <c r="W1002" s="1506"/>
      <c r="X1002" s="1506"/>
      <c r="Y1002" s="1506"/>
      <c r="Z1002" s="1506"/>
      <c r="AA1002" s="1506"/>
      <c r="AB1002" s="1506"/>
      <c r="AC1002" s="1506"/>
      <c r="AD1002" s="1506"/>
      <c r="AE1002" s="1507"/>
      <c r="AF1002" s="1522" t="s">
        <v>665</v>
      </c>
      <c r="AG1002" s="1523"/>
      <c r="AH1002" s="1523"/>
      <c r="AI1002" s="1524"/>
      <c r="AJ1002" s="1505"/>
      <c r="AK1002" s="1506"/>
      <c r="AL1002" s="1506"/>
      <c r="AM1002" s="1506"/>
      <c r="AN1002" s="1506"/>
      <c r="AO1002" s="1506"/>
      <c r="AP1002" s="1506"/>
      <c r="AQ1002" s="1507"/>
      <c r="AR1002" s="68"/>
      <c r="AS1002" s="68"/>
      <c r="AT1002" s="68"/>
      <c r="AU1002" s="68"/>
      <c r="AV1002" s="68"/>
      <c r="AW1002" s="68"/>
      <c r="AX1002" s="68"/>
      <c r="AY1002" s="68"/>
      <c r="AZ1002" s="34"/>
      <c r="BA1002" s="34"/>
      <c r="BB1002" s="34"/>
      <c r="BC1002" s="34"/>
    </row>
    <row r="1003" spans="1:55" ht="12.95" customHeight="1">
      <c r="A1003" s="14"/>
      <c r="B1003" s="73"/>
      <c r="C1003" s="923" t="s">
        <v>667</v>
      </c>
      <c r="D1003" s="1496" t="s">
        <v>1219</v>
      </c>
      <c r="E1003" s="1497"/>
      <c r="F1003" s="1497"/>
      <c r="G1003" s="1497"/>
      <c r="H1003" s="1497"/>
      <c r="I1003" s="1497"/>
      <c r="J1003" s="1497"/>
      <c r="K1003" s="1497"/>
      <c r="L1003" s="1497"/>
      <c r="M1003" s="1497"/>
      <c r="N1003" s="1497"/>
      <c r="O1003" s="1497"/>
      <c r="P1003" s="1497"/>
      <c r="Q1003" s="1497"/>
      <c r="R1003" s="1497"/>
      <c r="S1003" s="1497"/>
      <c r="T1003" s="1497"/>
      <c r="U1003" s="1497"/>
      <c r="V1003" s="1497"/>
      <c r="W1003" s="1497"/>
      <c r="X1003" s="1497"/>
      <c r="Y1003" s="1497"/>
      <c r="Z1003" s="1497"/>
      <c r="AA1003" s="1497"/>
      <c r="AB1003" s="1497"/>
      <c r="AC1003" s="1497"/>
      <c r="AD1003" s="1497"/>
      <c r="AE1003" s="1498"/>
      <c r="AF1003" s="79"/>
      <c r="AG1003" s="1525" t="s">
        <v>668</v>
      </c>
      <c r="AH1003" s="1526"/>
      <c r="AI1003" s="87"/>
      <c r="AJ1003" s="1348">
        <f>ROUND(IF(AND(AG1003="yes",D1009&gt;0),AJ1001*0.2,0),0)</f>
        <v>0</v>
      </c>
      <c r="AK1003" s="1349"/>
      <c r="AL1003" s="1349"/>
      <c r="AM1003" s="1349"/>
      <c r="AN1003" s="1349"/>
      <c r="AO1003" s="1349"/>
      <c r="AP1003" s="1349"/>
      <c r="AQ1003" s="1350"/>
      <c r="AR1003" s="68"/>
      <c r="AS1003" s="68"/>
      <c r="AT1003" s="68"/>
      <c r="AU1003" s="68"/>
      <c r="AV1003" s="68"/>
      <c r="AW1003" s="68"/>
      <c r="AX1003" s="68"/>
      <c r="AY1003" s="68"/>
      <c r="AZ1003" s="34"/>
      <c r="BA1003" s="34"/>
      <c r="BB1003" s="34"/>
      <c r="BC1003" s="34"/>
    </row>
    <row r="1004" spans="1:55" ht="12.95" customHeight="1">
      <c r="A1004" s="14"/>
      <c r="B1004" s="257"/>
      <c r="C1004" s="256"/>
      <c r="D1004" s="1547" t="s">
        <v>2187</v>
      </c>
      <c r="E1004" s="1548"/>
      <c r="F1004" s="1548"/>
      <c r="G1004" s="1548"/>
      <c r="H1004" s="1548"/>
      <c r="I1004" s="1548"/>
      <c r="J1004" s="1548"/>
      <c r="K1004" s="1548"/>
      <c r="L1004" s="1548"/>
      <c r="M1004" s="1548"/>
      <c r="N1004" s="1548"/>
      <c r="O1004" s="1548"/>
      <c r="P1004" s="1548"/>
      <c r="Q1004" s="1548"/>
      <c r="R1004" s="1548"/>
      <c r="S1004" s="1548"/>
      <c r="T1004" s="1548"/>
      <c r="U1004" s="1548"/>
      <c r="V1004" s="1548"/>
      <c r="W1004" s="1548"/>
      <c r="X1004" s="1548"/>
      <c r="Y1004" s="1548"/>
      <c r="Z1004" s="1548"/>
      <c r="AA1004" s="1548"/>
      <c r="AB1004" s="1548"/>
      <c r="AC1004" s="1548"/>
      <c r="AD1004" s="1548"/>
      <c r="AE1004" s="1549"/>
      <c r="AF1004" s="73"/>
      <c r="AG1004" s="14"/>
      <c r="AH1004" s="14"/>
      <c r="AI1004" s="83"/>
      <c r="AJ1004" s="1351"/>
      <c r="AK1004" s="1352"/>
      <c r="AL1004" s="1352"/>
      <c r="AM1004" s="1352"/>
      <c r="AN1004" s="1352"/>
      <c r="AO1004" s="1352"/>
      <c r="AP1004" s="1352"/>
      <c r="AQ1004" s="1353"/>
      <c r="AR1004" s="68"/>
      <c r="AS1004" s="68"/>
      <c r="AT1004" s="68"/>
      <c r="AU1004" s="68"/>
      <c r="AV1004" s="68"/>
      <c r="AW1004" s="68"/>
      <c r="AX1004" s="68"/>
      <c r="AY1004" s="68"/>
      <c r="AZ1004" s="34"/>
      <c r="BA1004" s="34"/>
      <c r="BB1004" s="34"/>
      <c r="BC1004" s="34"/>
    </row>
    <row r="1005" spans="1:55" ht="12.95" customHeight="1">
      <c r="A1005" s="14"/>
      <c r="B1005" s="257"/>
      <c r="C1005" s="256"/>
      <c r="D1005" s="1547"/>
      <c r="E1005" s="1548"/>
      <c r="F1005" s="1548"/>
      <c r="G1005" s="1548"/>
      <c r="H1005" s="1548"/>
      <c r="I1005" s="1548"/>
      <c r="J1005" s="1548"/>
      <c r="K1005" s="1548"/>
      <c r="L1005" s="1548"/>
      <c r="M1005" s="1548"/>
      <c r="N1005" s="1548"/>
      <c r="O1005" s="1548"/>
      <c r="P1005" s="1548"/>
      <c r="Q1005" s="1548"/>
      <c r="R1005" s="1548"/>
      <c r="S1005" s="1548"/>
      <c r="T1005" s="1548"/>
      <c r="U1005" s="1548"/>
      <c r="V1005" s="1548"/>
      <c r="W1005" s="1548"/>
      <c r="X1005" s="1548"/>
      <c r="Y1005" s="1548"/>
      <c r="Z1005" s="1548"/>
      <c r="AA1005" s="1548"/>
      <c r="AB1005" s="1548"/>
      <c r="AC1005" s="1548"/>
      <c r="AD1005" s="1548"/>
      <c r="AE1005" s="1549"/>
      <c r="AF1005" s="73"/>
      <c r="AG1005" s="14"/>
      <c r="AH1005" s="14"/>
      <c r="AI1005" s="83"/>
      <c r="AJ1005" s="1351"/>
      <c r="AK1005" s="1352"/>
      <c r="AL1005" s="1352"/>
      <c r="AM1005" s="1352"/>
      <c r="AN1005" s="1352"/>
      <c r="AO1005" s="1352"/>
      <c r="AP1005" s="1352"/>
      <c r="AQ1005" s="1353"/>
      <c r="AR1005" s="68"/>
      <c r="AS1005" s="68"/>
      <c r="AT1005" s="68"/>
      <c r="AU1005" s="68"/>
      <c r="AV1005" s="68"/>
      <c r="AW1005" s="68"/>
      <c r="AX1005" s="68"/>
      <c r="AY1005" s="68"/>
      <c r="AZ1005" s="34"/>
      <c r="BA1005" s="34"/>
      <c r="BB1005" s="34"/>
      <c r="BC1005" s="34"/>
    </row>
    <row r="1006" spans="1:55" ht="12.95" customHeight="1">
      <c r="A1006" s="14"/>
      <c r="B1006" s="257"/>
      <c r="C1006" s="256"/>
      <c r="D1006" s="1547"/>
      <c r="E1006" s="1548"/>
      <c r="F1006" s="1548"/>
      <c r="G1006" s="1548"/>
      <c r="H1006" s="1548"/>
      <c r="I1006" s="1548"/>
      <c r="J1006" s="1548"/>
      <c r="K1006" s="1548"/>
      <c r="L1006" s="1548"/>
      <c r="M1006" s="1548"/>
      <c r="N1006" s="1548"/>
      <c r="O1006" s="1548"/>
      <c r="P1006" s="1548"/>
      <c r="Q1006" s="1548"/>
      <c r="R1006" s="1548"/>
      <c r="S1006" s="1548"/>
      <c r="T1006" s="1548"/>
      <c r="U1006" s="1548"/>
      <c r="V1006" s="1548"/>
      <c r="W1006" s="1548"/>
      <c r="X1006" s="1548"/>
      <c r="Y1006" s="1548"/>
      <c r="Z1006" s="1548"/>
      <c r="AA1006" s="1548"/>
      <c r="AB1006" s="1548"/>
      <c r="AC1006" s="1548"/>
      <c r="AD1006" s="1548"/>
      <c r="AE1006" s="1549"/>
      <c r="AF1006" s="73"/>
      <c r="AG1006" s="14"/>
      <c r="AH1006" s="14"/>
      <c r="AI1006" s="83"/>
      <c r="AJ1006" s="1351"/>
      <c r="AK1006" s="1352"/>
      <c r="AL1006" s="1352"/>
      <c r="AM1006" s="1352"/>
      <c r="AN1006" s="1352"/>
      <c r="AO1006" s="1352"/>
      <c r="AP1006" s="1352"/>
      <c r="AQ1006" s="1353"/>
      <c r="AR1006" s="68"/>
      <c r="AS1006" s="68"/>
      <c r="AT1006" s="68"/>
      <c r="AU1006" s="68"/>
      <c r="AV1006" s="68"/>
      <c r="AW1006" s="68"/>
      <c r="AX1006" s="68"/>
      <c r="AY1006" s="68"/>
      <c r="AZ1006" s="34"/>
      <c r="BA1006" s="34"/>
      <c r="BB1006" s="34"/>
      <c r="BC1006" s="34"/>
    </row>
    <row r="1007" spans="1:55" ht="12.95" customHeight="1">
      <c r="A1007" s="14"/>
      <c r="B1007" s="257"/>
      <c r="C1007" s="256"/>
      <c r="D1007" s="1547"/>
      <c r="E1007" s="1548"/>
      <c r="F1007" s="1548"/>
      <c r="G1007" s="1548"/>
      <c r="H1007" s="1548"/>
      <c r="I1007" s="1548"/>
      <c r="J1007" s="1548"/>
      <c r="K1007" s="1548"/>
      <c r="L1007" s="1548"/>
      <c r="M1007" s="1548"/>
      <c r="N1007" s="1548"/>
      <c r="O1007" s="1548"/>
      <c r="P1007" s="1548"/>
      <c r="Q1007" s="1548"/>
      <c r="R1007" s="1548"/>
      <c r="S1007" s="1548"/>
      <c r="T1007" s="1548"/>
      <c r="U1007" s="1548"/>
      <c r="V1007" s="1548"/>
      <c r="W1007" s="1548"/>
      <c r="X1007" s="1548"/>
      <c r="Y1007" s="1548"/>
      <c r="Z1007" s="1548"/>
      <c r="AA1007" s="1548"/>
      <c r="AB1007" s="1548"/>
      <c r="AC1007" s="1548"/>
      <c r="AD1007" s="1548"/>
      <c r="AE1007" s="1549"/>
      <c r="AF1007" s="73"/>
      <c r="AG1007" s="14"/>
      <c r="AH1007" s="14"/>
      <c r="AI1007" s="83"/>
      <c r="AJ1007" s="1351"/>
      <c r="AK1007" s="1352"/>
      <c r="AL1007" s="1352"/>
      <c r="AM1007" s="1352"/>
      <c r="AN1007" s="1352"/>
      <c r="AO1007" s="1352"/>
      <c r="AP1007" s="1352"/>
      <c r="AQ1007" s="1353"/>
      <c r="AR1007" s="68"/>
      <c r="AS1007" s="68"/>
      <c r="AT1007" s="68"/>
      <c r="AU1007" s="68"/>
      <c r="AV1007" s="68"/>
      <c r="AW1007" s="68"/>
      <c r="AX1007" s="68"/>
      <c r="AY1007" s="68"/>
      <c r="AZ1007" s="34"/>
      <c r="BA1007" s="34"/>
      <c r="BB1007" s="34"/>
      <c r="BC1007" s="34"/>
    </row>
    <row r="1008" spans="1:55" ht="12.95" customHeight="1">
      <c r="A1008" s="14"/>
      <c r="B1008" s="257"/>
      <c r="C1008" s="256"/>
      <c r="D1008" s="1479" t="s">
        <v>2158</v>
      </c>
      <c r="E1008" s="1480"/>
      <c r="F1008" s="1480"/>
      <c r="G1008" s="1480"/>
      <c r="H1008" s="1480"/>
      <c r="I1008" s="1480"/>
      <c r="J1008" s="1480"/>
      <c r="K1008" s="1480"/>
      <c r="L1008" s="1480"/>
      <c r="M1008" s="1480"/>
      <c r="N1008" s="1480"/>
      <c r="O1008" s="1480"/>
      <c r="P1008" s="1480"/>
      <c r="Q1008" s="1480"/>
      <c r="R1008" s="1480"/>
      <c r="S1008" s="1480"/>
      <c r="T1008" s="1480"/>
      <c r="U1008" s="1480"/>
      <c r="V1008" s="1480"/>
      <c r="W1008" s="1480"/>
      <c r="X1008" s="1480"/>
      <c r="Y1008" s="1480"/>
      <c r="Z1008" s="1480"/>
      <c r="AA1008" s="1480"/>
      <c r="AB1008" s="1480"/>
      <c r="AC1008" s="1480"/>
      <c r="AD1008" s="1480"/>
      <c r="AE1008" s="1481"/>
      <c r="AF1008" s="73"/>
      <c r="AG1008" s="14"/>
      <c r="AH1008" s="14"/>
      <c r="AI1008" s="83"/>
      <c r="AJ1008" s="1351"/>
      <c r="AK1008" s="1352"/>
      <c r="AL1008" s="1352"/>
      <c r="AM1008" s="1352"/>
      <c r="AN1008" s="1352"/>
      <c r="AO1008" s="1352"/>
      <c r="AP1008" s="1352"/>
      <c r="AQ1008" s="1353"/>
      <c r="AR1008" s="68"/>
      <c r="AS1008" s="68"/>
      <c r="AT1008" s="68"/>
      <c r="AU1008" s="68"/>
      <c r="AV1008" s="68"/>
      <c r="AW1008" s="68"/>
      <c r="AX1008" s="68"/>
      <c r="AY1008" s="68"/>
      <c r="AZ1008" s="34"/>
      <c r="BA1008" s="34"/>
      <c r="BB1008" s="34"/>
      <c r="BC1008" s="34"/>
    </row>
    <row r="1009" spans="1:55" ht="12.95" customHeight="1">
      <c r="A1009" s="14"/>
      <c r="B1009" s="257"/>
      <c r="C1009" s="256"/>
      <c r="D1009" s="1499"/>
      <c r="E1009" s="1500"/>
      <c r="F1009" s="1500"/>
      <c r="G1009" s="1500"/>
      <c r="H1009" s="1500"/>
      <c r="I1009" s="1500"/>
      <c r="J1009" s="1500"/>
      <c r="K1009" s="1500"/>
      <c r="L1009" s="1500"/>
      <c r="M1009" s="1500"/>
      <c r="N1009" s="1500"/>
      <c r="O1009" s="1500"/>
      <c r="P1009" s="1500"/>
      <c r="Q1009" s="1500"/>
      <c r="R1009" s="1500"/>
      <c r="S1009" s="1500"/>
      <c r="T1009" s="1500"/>
      <c r="U1009" s="1500"/>
      <c r="V1009" s="1500"/>
      <c r="W1009" s="1500"/>
      <c r="X1009" s="1500"/>
      <c r="Y1009" s="1500"/>
      <c r="Z1009" s="1500"/>
      <c r="AA1009" s="1500"/>
      <c r="AB1009" s="1500"/>
      <c r="AC1009" s="1500"/>
      <c r="AD1009" s="1500"/>
      <c r="AE1009" s="1501"/>
      <c r="AF1009" s="77"/>
      <c r="AG1009" s="7"/>
      <c r="AH1009" s="7"/>
      <c r="AI1009" s="78"/>
      <c r="AJ1009" s="1354"/>
      <c r="AK1009" s="1355"/>
      <c r="AL1009" s="1355"/>
      <c r="AM1009" s="1355"/>
      <c r="AN1009" s="1355"/>
      <c r="AO1009" s="1355"/>
      <c r="AP1009" s="1355"/>
      <c r="AQ1009" s="1356"/>
      <c r="AR1009" s="68"/>
      <c r="AS1009" s="68"/>
      <c r="AT1009" s="68"/>
      <c r="AU1009" s="68"/>
      <c r="AV1009" s="68"/>
      <c r="AW1009" s="68"/>
      <c r="AX1009" s="68"/>
      <c r="AY1009" s="68"/>
      <c r="AZ1009" s="34"/>
      <c r="BA1009" s="34"/>
      <c r="BB1009" s="34"/>
      <c r="BC1009" s="34"/>
    </row>
    <row r="1010" spans="1:55" ht="12.95" customHeight="1">
      <c r="A1010" s="14"/>
      <c r="B1010" s="255"/>
      <c r="C1010" s="318"/>
      <c r="D1010" s="1304" t="s">
        <v>1285</v>
      </c>
      <c r="E1010" s="1305"/>
      <c r="F1010" s="1305"/>
      <c r="G1010" s="1305"/>
      <c r="H1010" s="1305"/>
      <c r="I1010" s="1305"/>
      <c r="J1010" s="1305"/>
      <c r="K1010" s="1305"/>
      <c r="L1010" s="1305"/>
      <c r="M1010" s="1305"/>
      <c r="N1010" s="1305"/>
      <c r="O1010" s="1305"/>
      <c r="P1010" s="1305"/>
      <c r="Q1010" s="1305"/>
      <c r="R1010" s="1305"/>
      <c r="S1010" s="1305"/>
      <c r="T1010" s="1305"/>
      <c r="U1010" s="1305"/>
      <c r="V1010" s="1305"/>
      <c r="W1010" s="1305"/>
      <c r="X1010" s="1305"/>
      <c r="Y1010" s="1305"/>
      <c r="Z1010" s="1305"/>
      <c r="AA1010" s="1305"/>
      <c r="AB1010" s="1305"/>
      <c r="AC1010" s="1305"/>
      <c r="AD1010" s="1305"/>
      <c r="AE1010" s="1306"/>
      <c r="AF1010" s="79"/>
      <c r="AG1010" s="1307" t="s">
        <v>668</v>
      </c>
      <c r="AH1010" s="1308"/>
      <c r="AI1010" s="87"/>
      <c r="AJ1010" s="1348">
        <f>ROUND(IF(AG1010="yes",AJ1001*0.05,0),0)</f>
        <v>0</v>
      </c>
      <c r="AK1010" s="1349"/>
      <c r="AL1010" s="1349"/>
      <c r="AM1010" s="1349"/>
      <c r="AN1010" s="1349"/>
      <c r="AO1010" s="1349"/>
      <c r="AP1010" s="1349"/>
      <c r="AQ1010" s="1350"/>
      <c r="AR1010" s="68"/>
      <c r="AS1010" s="68"/>
      <c r="AT1010" s="68"/>
      <c r="AU1010" s="68"/>
      <c r="AV1010" s="68"/>
      <c r="AW1010" s="68"/>
      <c r="AX1010" s="68"/>
      <c r="AY1010" s="68"/>
      <c r="AZ1010" s="34"/>
      <c r="BA1010" s="34"/>
      <c r="BB1010" s="34"/>
      <c r="BC1010" s="34"/>
    </row>
    <row r="1011" spans="1:55" ht="12.95" customHeight="1">
      <c r="A1011" s="14"/>
      <c r="B1011" s="257"/>
      <c r="C1011" s="82"/>
      <c r="D1011" s="1547" t="s">
        <v>1283</v>
      </c>
      <c r="E1011" s="1548"/>
      <c r="F1011" s="1548"/>
      <c r="G1011" s="1548"/>
      <c r="H1011" s="1548"/>
      <c r="I1011" s="1548"/>
      <c r="J1011" s="1548"/>
      <c r="K1011" s="1548"/>
      <c r="L1011" s="1548"/>
      <c r="M1011" s="1548"/>
      <c r="N1011" s="1548"/>
      <c r="O1011" s="1548"/>
      <c r="P1011" s="1548"/>
      <c r="Q1011" s="1548"/>
      <c r="R1011" s="1548"/>
      <c r="S1011" s="1548"/>
      <c r="T1011" s="1548"/>
      <c r="U1011" s="1548"/>
      <c r="V1011" s="1548"/>
      <c r="W1011" s="1548"/>
      <c r="X1011" s="1548"/>
      <c r="Y1011" s="1548"/>
      <c r="Z1011" s="1548"/>
      <c r="AA1011" s="1548"/>
      <c r="AB1011" s="1548"/>
      <c r="AC1011" s="1548"/>
      <c r="AD1011" s="1548"/>
      <c r="AE1011" s="1549"/>
      <c r="AF1011" s="73"/>
      <c r="AG1011" s="14"/>
      <c r="AH1011" s="14"/>
      <c r="AI1011" s="83"/>
      <c r="AJ1011" s="1351"/>
      <c r="AK1011" s="1352"/>
      <c r="AL1011" s="1352"/>
      <c r="AM1011" s="1352"/>
      <c r="AN1011" s="1352"/>
      <c r="AO1011" s="1352"/>
      <c r="AP1011" s="1352"/>
      <c r="AQ1011" s="1353"/>
      <c r="AR1011" s="68"/>
      <c r="AS1011" s="68"/>
      <c r="AT1011" s="68"/>
      <c r="AU1011" s="68"/>
      <c r="AV1011" s="68"/>
      <c r="AW1011" s="68"/>
      <c r="AX1011" s="68"/>
      <c r="AY1011" s="34"/>
      <c r="AZ1011" s="34"/>
      <c r="BB1011" s="34"/>
    </row>
    <row r="1012" spans="1:55" ht="12.95" customHeight="1">
      <c r="A1012" s="14"/>
      <c r="B1012" s="257"/>
      <c r="C1012" s="82"/>
      <c r="D1012" s="1547"/>
      <c r="E1012" s="1548"/>
      <c r="F1012" s="1548"/>
      <c r="G1012" s="1548"/>
      <c r="H1012" s="1548"/>
      <c r="I1012" s="1548"/>
      <c r="J1012" s="1548"/>
      <c r="K1012" s="1548"/>
      <c r="L1012" s="1548"/>
      <c r="M1012" s="1548"/>
      <c r="N1012" s="1548"/>
      <c r="O1012" s="1548"/>
      <c r="P1012" s="1548"/>
      <c r="Q1012" s="1548"/>
      <c r="R1012" s="1548"/>
      <c r="S1012" s="1548"/>
      <c r="T1012" s="1548"/>
      <c r="U1012" s="1548"/>
      <c r="V1012" s="1548"/>
      <c r="W1012" s="1548"/>
      <c r="X1012" s="1548"/>
      <c r="Y1012" s="1548"/>
      <c r="Z1012" s="1548"/>
      <c r="AA1012" s="1548"/>
      <c r="AB1012" s="1548"/>
      <c r="AC1012" s="1548"/>
      <c r="AD1012" s="1548"/>
      <c r="AE1012" s="1549"/>
      <c r="AF1012" s="73"/>
      <c r="AG1012" s="14"/>
      <c r="AH1012" s="14"/>
      <c r="AI1012" s="83"/>
      <c r="AJ1012" s="1351"/>
      <c r="AK1012" s="1352"/>
      <c r="AL1012" s="1352"/>
      <c r="AM1012" s="1352"/>
      <c r="AN1012" s="1352"/>
      <c r="AO1012" s="1352"/>
      <c r="AP1012" s="1352"/>
      <c r="AQ1012" s="1353"/>
      <c r="AR1012" s="68"/>
      <c r="AS1012" s="68"/>
      <c r="AT1012" s="68"/>
      <c r="AU1012" s="68"/>
      <c r="AV1012" s="68"/>
      <c r="AW1012" s="68"/>
      <c r="AX1012" s="68"/>
      <c r="AY1012" s="910">
        <f>G761+O805</f>
        <v>203</v>
      </c>
      <c r="AZ1012" s="34"/>
      <c r="BB1012" s="34"/>
    </row>
    <row r="1013" spans="1:55" ht="12.95" customHeight="1">
      <c r="A1013" s="14"/>
      <c r="B1013" s="257"/>
      <c r="C1013" s="82"/>
      <c r="D1013" s="1547"/>
      <c r="E1013" s="1548"/>
      <c r="F1013" s="1548"/>
      <c r="G1013" s="1548"/>
      <c r="H1013" s="1548"/>
      <c r="I1013" s="1548"/>
      <c r="J1013" s="1548"/>
      <c r="K1013" s="1548"/>
      <c r="L1013" s="1548"/>
      <c r="M1013" s="1548"/>
      <c r="N1013" s="1548"/>
      <c r="O1013" s="1548"/>
      <c r="P1013" s="1548"/>
      <c r="Q1013" s="1548"/>
      <c r="R1013" s="1548"/>
      <c r="S1013" s="1548"/>
      <c r="T1013" s="1548"/>
      <c r="U1013" s="1548"/>
      <c r="V1013" s="1548"/>
      <c r="W1013" s="1548"/>
      <c r="X1013" s="1548"/>
      <c r="Y1013" s="1548"/>
      <c r="Z1013" s="1548"/>
      <c r="AA1013" s="1548"/>
      <c r="AB1013" s="1548"/>
      <c r="AC1013" s="1548"/>
      <c r="AD1013" s="1548"/>
      <c r="AE1013" s="1549"/>
      <c r="AF1013" s="73"/>
      <c r="AG1013" s="14"/>
      <c r="AH1013" s="14"/>
      <c r="AI1013" s="83"/>
      <c r="AJ1013" s="1351"/>
      <c r="AK1013" s="1352"/>
      <c r="AL1013" s="1352"/>
      <c r="AM1013" s="1352"/>
      <c r="AN1013" s="1352"/>
      <c r="AO1013" s="1352"/>
      <c r="AP1013" s="1352"/>
      <c r="AQ1013" s="1353"/>
      <c r="AR1013" s="68"/>
      <c r="AS1013" s="68"/>
      <c r="AT1013" s="68"/>
      <c r="AU1013" s="68"/>
      <c r="AV1013" s="68"/>
      <c r="AW1013" s="68"/>
      <c r="AX1013" s="68"/>
      <c r="AY1013" s="14"/>
      <c r="AZ1013" s="34"/>
      <c r="BB1013" s="34"/>
    </row>
    <row r="1014" spans="1:55" ht="12.95" customHeight="1">
      <c r="A1014" s="14"/>
      <c r="B1014" s="257"/>
      <c r="C1014" s="82"/>
      <c r="D1014" s="1547"/>
      <c r="E1014" s="1548"/>
      <c r="F1014" s="1548"/>
      <c r="G1014" s="1548"/>
      <c r="H1014" s="1548"/>
      <c r="I1014" s="1548"/>
      <c r="J1014" s="1548"/>
      <c r="K1014" s="1548"/>
      <c r="L1014" s="1548"/>
      <c r="M1014" s="1548"/>
      <c r="N1014" s="1548"/>
      <c r="O1014" s="1548"/>
      <c r="P1014" s="1548"/>
      <c r="Q1014" s="1548"/>
      <c r="R1014" s="1548"/>
      <c r="S1014" s="1548"/>
      <c r="T1014" s="1548"/>
      <c r="U1014" s="1548"/>
      <c r="V1014" s="1548"/>
      <c r="W1014" s="1548"/>
      <c r="X1014" s="1548"/>
      <c r="Y1014" s="1548"/>
      <c r="Z1014" s="1548"/>
      <c r="AA1014" s="1548"/>
      <c r="AB1014" s="1548"/>
      <c r="AC1014" s="1548"/>
      <c r="AD1014" s="1548"/>
      <c r="AE1014" s="1549"/>
      <c r="AF1014" s="73"/>
      <c r="AG1014" s="14"/>
      <c r="AH1014" s="14"/>
      <c r="AI1014" s="83"/>
      <c r="AJ1014" s="1351"/>
      <c r="AK1014" s="1352"/>
      <c r="AL1014" s="1352"/>
      <c r="AM1014" s="1352"/>
      <c r="AN1014" s="1352"/>
      <c r="AO1014" s="1352"/>
      <c r="AP1014" s="1352"/>
      <c r="AQ1014" s="1353"/>
      <c r="AR1014" s="68"/>
      <c r="AS1014" s="68"/>
      <c r="AT1014" s="68"/>
      <c r="AU1014" s="68"/>
      <c r="AV1014" s="68"/>
      <c r="AW1014" s="68"/>
      <c r="AX1014" s="68"/>
      <c r="AY1014" s="909">
        <f>ROUNDDOWN(X1057/I1057,2)</f>
        <v>0.2</v>
      </c>
      <c r="AZ1014" s="34"/>
      <c r="BB1014" s="34"/>
    </row>
    <row r="1015" spans="1:55" ht="12.95" customHeight="1">
      <c r="A1015" s="14"/>
      <c r="B1015" s="75"/>
      <c r="C1015" s="76"/>
      <c r="D1015" s="1479"/>
      <c r="E1015" s="1480"/>
      <c r="F1015" s="1480"/>
      <c r="G1015" s="1480"/>
      <c r="H1015" s="1480"/>
      <c r="I1015" s="1480"/>
      <c r="J1015" s="1480"/>
      <c r="K1015" s="1480"/>
      <c r="L1015" s="1480"/>
      <c r="M1015" s="1480"/>
      <c r="N1015" s="1480"/>
      <c r="O1015" s="1480"/>
      <c r="P1015" s="1480"/>
      <c r="Q1015" s="1480"/>
      <c r="R1015" s="1480"/>
      <c r="S1015" s="1480"/>
      <c r="T1015" s="1480"/>
      <c r="U1015" s="1480"/>
      <c r="V1015" s="1480"/>
      <c r="W1015" s="1480"/>
      <c r="X1015" s="1480"/>
      <c r="Y1015" s="1480"/>
      <c r="Z1015" s="1480"/>
      <c r="AA1015" s="1480"/>
      <c r="AB1015" s="1480"/>
      <c r="AC1015" s="1480"/>
      <c r="AD1015" s="1480"/>
      <c r="AE1015" s="1481"/>
      <c r="AF1015" s="77"/>
      <c r="AG1015" s="7"/>
      <c r="AH1015" s="7"/>
      <c r="AI1015" s="78"/>
      <c r="AJ1015" s="1354"/>
      <c r="AK1015" s="1355"/>
      <c r="AL1015" s="1355"/>
      <c r="AM1015" s="1355"/>
      <c r="AN1015" s="1355"/>
      <c r="AO1015" s="1355"/>
      <c r="AP1015" s="1355"/>
      <c r="AQ1015" s="1356"/>
      <c r="AR1015" s="68"/>
      <c r="AS1015" s="68"/>
      <c r="AT1015" s="68"/>
      <c r="AU1015" s="68"/>
      <c r="AV1015" s="68"/>
      <c r="AW1015" s="68"/>
      <c r="AX1015" s="68"/>
      <c r="AY1015" s="909">
        <f>ROUNDDOWN(X1061/I1061,2)</f>
        <v>0.1</v>
      </c>
      <c r="AZ1015" s="34"/>
      <c r="BB1015" s="34"/>
    </row>
    <row r="1016" spans="1:55" ht="12.95" customHeight="1">
      <c r="A1016" s="14"/>
      <c r="B1016" s="255"/>
      <c r="C1016" s="80" t="s">
        <v>671</v>
      </c>
      <c r="D1016" s="1304" t="s">
        <v>1671</v>
      </c>
      <c r="E1016" s="1305"/>
      <c r="F1016" s="1305"/>
      <c r="G1016" s="1305"/>
      <c r="H1016" s="1305"/>
      <c r="I1016" s="1305"/>
      <c r="J1016" s="1305"/>
      <c r="K1016" s="1305"/>
      <c r="L1016" s="1305"/>
      <c r="M1016" s="1305"/>
      <c r="N1016" s="1305"/>
      <c r="O1016" s="1305"/>
      <c r="P1016" s="1305"/>
      <c r="Q1016" s="1305"/>
      <c r="R1016" s="1305"/>
      <c r="S1016" s="1305"/>
      <c r="T1016" s="1305"/>
      <c r="U1016" s="1305"/>
      <c r="V1016" s="1305"/>
      <c r="W1016" s="1305"/>
      <c r="X1016" s="1305"/>
      <c r="Y1016" s="1305"/>
      <c r="Z1016" s="1305"/>
      <c r="AA1016" s="1305"/>
      <c r="AB1016" s="1305"/>
      <c r="AC1016" s="1305"/>
      <c r="AD1016" s="1305"/>
      <c r="AE1016" s="1306"/>
      <c r="AF1016" s="86"/>
      <c r="AG1016" s="1307" t="s">
        <v>668</v>
      </c>
      <c r="AH1016" s="1308"/>
      <c r="AI1016" s="87"/>
      <c r="AJ1016" s="1348">
        <f>ROUND(IF(AG1016="yes",AJ1001*0.1,0),0)</f>
        <v>0</v>
      </c>
      <c r="AK1016" s="1349"/>
      <c r="AL1016" s="1349"/>
      <c r="AM1016" s="1349"/>
      <c r="AN1016" s="1349"/>
      <c r="AO1016" s="1349"/>
      <c r="AP1016" s="1349"/>
      <c r="AQ1016" s="1350"/>
      <c r="AR1016" s="68"/>
      <c r="AS1016" s="68"/>
      <c r="AT1016" s="68"/>
      <c r="AU1016" s="68"/>
      <c r="AV1016" s="68"/>
      <c r="AW1016" s="68"/>
      <c r="AX1016" s="68"/>
      <c r="BB1016" s="34"/>
    </row>
    <row r="1017" spans="1:55" ht="12.95" customHeight="1">
      <c r="A1017" s="14"/>
      <c r="B1017" s="73"/>
      <c r="C1017" s="74"/>
      <c r="D1017" s="1275" t="s">
        <v>1284</v>
      </c>
      <c r="E1017" s="1276"/>
      <c r="F1017" s="1276"/>
      <c r="G1017" s="1276"/>
      <c r="H1017" s="1276"/>
      <c r="I1017" s="1276"/>
      <c r="J1017" s="1276"/>
      <c r="K1017" s="1276"/>
      <c r="L1017" s="1276"/>
      <c r="M1017" s="1276"/>
      <c r="N1017" s="1276"/>
      <c r="O1017" s="1276"/>
      <c r="P1017" s="1276"/>
      <c r="Q1017" s="1276"/>
      <c r="R1017" s="1276"/>
      <c r="S1017" s="1276"/>
      <c r="T1017" s="1276"/>
      <c r="U1017" s="1276"/>
      <c r="V1017" s="1276"/>
      <c r="W1017" s="1276"/>
      <c r="X1017" s="1276"/>
      <c r="Y1017" s="1276"/>
      <c r="Z1017" s="1276"/>
      <c r="AA1017" s="1276"/>
      <c r="AB1017" s="1276"/>
      <c r="AC1017" s="1276"/>
      <c r="AD1017" s="1276"/>
      <c r="AE1017" s="1277"/>
      <c r="AF1017" s="73"/>
      <c r="AI1017" s="83"/>
      <c r="AJ1017" s="1351"/>
      <c r="AK1017" s="1352"/>
      <c r="AL1017" s="1352"/>
      <c r="AM1017" s="1352"/>
      <c r="AN1017" s="1352"/>
      <c r="AO1017" s="1352"/>
      <c r="AP1017" s="1352"/>
      <c r="AQ1017" s="1353"/>
      <c r="AR1017" s="68"/>
      <c r="AS1017" s="68"/>
      <c r="AT1017" s="68"/>
      <c r="AU1017" s="68"/>
      <c r="AV1017" s="68"/>
      <c r="AW1017" s="68"/>
      <c r="AX1017" s="68"/>
    </row>
    <row r="1018" spans="1:55" ht="12.95" customHeight="1">
      <c r="A1018" s="14"/>
      <c r="B1018" s="73"/>
      <c r="C1018" s="74"/>
      <c r="D1018" s="1275"/>
      <c r="E1018" s="1276"/>
      <c r="F1018" s="1276"/>
      <c r="G1018" s="1276"/>
      <c r="H1018" s="1276"/>
      <c r="I1018" s="1276"/>
      <c r="J1018" s="1276"/>
      <c r="K1018" s="1276"/>
      <c r="L1018" s="1276"/>
      <c r="M1018" s="1276"/>
      <c r="N1018" s="1276"/>
      <c r="O1018" s="1276"/>
      <c r="P1018" s="1276"/>
      <c r="Q1018" s="1276"/>
      <c r="R1018" s="1276"/>
      <c r="S1018" s="1276"/>
      <c r="T1018" s="1276"/>
      <c r="U1018" s="1276"/>
      <c r="V1018" s="1276"/>
      <c r="W1018" s="1276"/>
      <c r="X1018" s="1276"/>
      <c r="Y1018" s="1276"/>
      <c r="Z1018" s="1276"/>
      <c r="AA1018" s="1276"/>
      <c r="AB1018" s="1276"/>
      <c r="AC1018" s="1276"/>
      <c r="AD1018" s="1276"/>
      <c r="AE1018" s="1277"/>
      <c r="AF1018" s="73"/>
      <c r="AG1018" s="14"/>
      <c r="AH1018" s="14"/>
      <c r="AI1018" s="83"/>
      <c r="AJ1018" s="1351"/>
      <c r="AK1018" s="1352"/>
      <c r="AL1018" s="1352"/>
      <c r="AM1018" s="1352"/>
      <c r="AN1018" s="1352"/>
      <c r="AO1018" s="1352"/>
      <c r="AP1018" s="1352"/>
      <c r="AQ1018" s="1353"/>
      <c r="AR1018" s="68"/>
      <c r="AS1018" s="68"/>
      <c r="AT1018" s="68"/>
      <c r="AU1018" s="68"/>
      <c r="AV1018" s="68"/>
      <c r="AW1018" s="68"/>
      <c r="AX1018" s="68"/>
    </row>
    <row r="1019" spans="1:55" ht="12.95" customHeight="1">
      <c r="A1019" s="14"/>
      <c r="B1019" s="85"/>
      <c r="C1019" s="76"/>
      <c r="D1019" s="1357"/>
      <c r="E1019" s="1358"/>
      <c r="F1019" s="1358"/>
      <c r="G1019" s="1358"/>
      <c r="H1019" s="1358"/>
      <c r="I1019" s="1358"/>
      <c r="J1019" s="1358"/>
      <c r="K1019" s="1358"/>
      <c r="L1019" s="1358"/>
      <c r="M1019" s="1358"/>
      <c r="N1019" s="1358"/>
      <c r="O1019" s="1358"/>
      <c r="P1019" s="1358"/>
      <c r="Q1019" s="1358"/>
      <c r="R1019" s="1358"/>
      <c r="S1019" s="1358"/>
      <c r="T1019" s="1358"/>
      <c r="U1019" s="1358"/>
      <c r="V1019" s="1358"/>
      <c r="W1019" s="1358"/>
      <c r="X1019" s="1358"/>
      <c r="Y1019" s="1358"/>
      <c r="Z1019" s="1358"/>
      <c r="AA1019" s="1358"/>
      <c r="AB1019" s="1358"/>
      <c r="AC1019" s="1358"/>
      <c r="AD1019" s="1358"/>
      <c r="AE1019" s="1359"/>
      <c r="AF1019" s="77"/>
      <c r="AG1019" s="7"/>
      <c r="AH1019" s="7"/>
      <c r="AI1019" s="78"/>
      <c r="AJ1019" s="1354"/>
      <c r="AK1019" s="1355"/>
      <c r="AL1019" s="1355"/>
      <c r="AM1019" s="1355"/>
      <c r="AN1019" s="1355"/>
      <c r="AO1019" s="1355"/>
      <c r="AP1019" s="1355"/>
      <c r="AQ1019" s="1356"/>
      <c r="AR1019" s="68"/>
      <c r="AS1019" s="68"/>
      <c r="AT1019" s="68"/>
      <c r="AU1019" s="68"/>
      <c r="AV1019" s="68"/>
      <c r="AW1019" s="68"/>
      <c r="AX1019" s="68"/>
    </row>
    <row r="1020" spans="1:55" ht="12.95" customHeight="1">
      <c r="A1020" s="14"/>
      <c r="B1020" s="79"/>
      <c r="C1020" s="80" t="s">
        <v>212</v>
      </c>
      <c r="D1020" s="1304" t="s">
        <v>1286</v>
      </c>
      <c r="E1020" s="1305"/>
      <c r="F1020" s="1305"/>
      <c r="G1020" s="1305"/>
      <c r="H1020" s="1305"/>
      <c r="I1020" s="1305"/>
      <c r="J1020" s="1305"/>
      <c r="K1020" s="1305"/>
      <c r="L1020" s="1305"/>
      <c r="M1020" s="1305"/>
      <c r="N1020" s="1305"/>
      <c r="O1020" s="1305"/>
      <c r="P1020" s="1305"/>
      <c r="Q1020" s="1305"/>
      <c r="R1020" s="1305"/>
      <c r="S1020" s="1305"/>
      <c r="T1020" s="1305"/>
      <c r="U1020" s="1305"/>
      <c r="V1020" s="1305"/>
      <c r="W1020" s="1305"/>
      <c r="X1020" s="1305"/>
      <c r="Y1020" s="1305"/>
      <c r="Z1020" s="1305"/>
      <c r="AA1020" s="1305"/>
      <c r="AB1020" s="1305"/>
      <c r="AC1020" s="1305"/>
      <c r="AD1020" s="1305"/>
      <c r="AE1020" s="1306"/>
      <c r="AF1020" s="79"/>
      <c r="AG1020" s="1307" t="s">
        <v>668</v>
      </c>
      <c r="AH1020" s="1308"/>
      <c r="AI1020" s="87"/>
      <c r="AJ1020" s="1348">
        <f>ROUND(IF(AG1020="yes",AJ1001*0.02,0),0)</f>
        <v>0</v>
      </c>
      <c r="AK1020" s="1349"/>
      <c r="AL1020" s="1349"/>
      <c r="AM1020" s="1349"/>
      <c r="AN1020" s="1349"/>
      <c r="AO1020" s="1349"/>
      <c r="AP1020" s="1349"/>
      <c r="AQ1020" s="1350"/>
      <c r="AR1020" s="68"/>
      <c r="AS1020" s="68"/>
      <c r="AT1020" s="68"/>
      <c r="AU1020" s="68"/>
      <c r="AV1020" s="68"/>
      <c r="AW1020" s="68"/>
      <c r="AX1020" s="68"/>
    </row>
    <row r="1021" spans="1:55" ht="14.25" customHeight="1">
      <c r="A1021" s="14"/>
      <c r="B1021" s="73"/>
      <c r="C1021" s="74"/>
      <c r="D1021" s="1357" t="s">
        <v>1287</v>
      </c>
      <c r="E1021" s="1358"/>
      <c r="F1021" s="1358"/>
      <c r="G1021" s="1358"/>
      <c r="H1021" s="1358"/>
      <c r="I1021" s="1358"/>
      <c r="J1021" s="1358"/>
      <c r="K1021" s="1358"/>
      <c r="L1021" s="1358"/>
      <c r="M1021" s="1358"/>
      <c r="N1021" s="1358"/>
      <c r="O1021" s="1358"/>
      <c r="P1021" s="1358"/>
      <c r="Q1021" s="1358"/>
      <c r="R1021" s="1358"/>
      <c r="S1021" s="1358"/>
      <c r="T1021" s="1358"/>
      <c r="U1021" s="1358"/>
      <c r="V1021" s="1358"/>
      <c r="W1021" s="1358"/>
      <c r="X1021" s="1358"/>
      <c r="Y1021" s="1358"/>
      <c r="Z1021" s="1358"/>
      <c r="AA1021" s="1358"/>
      <c r="AB1021" s="1358"/>
      <c r="AC1021" s="1358"/>
      <c r="AD1021" s="1358"/>
      <c r="AE1021" s="1359"/>
      <c r="AF1021" s="77"/>
      <c r="AG1021" s="7"/>
      <c r="AH1021" s="7"/>
      <c r="AI1021" s="78"/>
      <c r="AJ1021" s="1354"/>
      <c r="AK1021" s="1355"/>
      <c r="AL1021" s="1355"/>
      <c r="AM1021" s="1355"/>
      <c r="AN1021" s="1355"/>
      <c r="AO1021" s="1355"/>
      <c r="AP1021" s="1355"/>
      <c r="AQ1021" s="1356"/>
      <c r="AR1021" s="68"/>
      <c r="AS1021" s="68"/>
      <c r="AT1021" s="68"/>
      <c r="AU1021" s="68"/>
      <c r="AV1021" s="68"/>
      <c r="AW1021" s="68"/>
      <c r="AX1021" s="3" t="s">
        <v>1816</v>
      </c>
      <c r="AZ1021" s="3" t="s">
        <v>2524</v>
      </c>
    </row>
    <row r="1022" spans="1:55" ht="12.95" customHeight="1">
      <c r="A1022" s="14"/>
      <c r="B1022" s="79"/>
      <c r="C1022" s="80" t="s">
        <v>215</v>
      </c>
      <c r="D1022" s="1304" t="s">
        <v>1288</v>
      </c>
      <c r="E1022" s="1305"/>
      <c r="F1022" s="1305"/>
      <c r="G1022" s="1305"/>
      <c r="H1022" s="1305"/>
      <c r="I1022" s="1305"/>
      <c r="J1022" s="1305"/>
      <c r="K1022" s="1305"/>
      <c r="L1022" s="1305"/>
      <c r="M1022" s="1305"/>
      <c r="N1022" s="1305"/>
      <c r="O1022" s="1305"/>
      <c r="P1022" s="1305"/>
      <c r="Q1022" s="1305"/>
      <c r="R1022" s="1305"/>
      <c r="S1022" s="1305"/>
      <c r="T1022" s="1305"/>
      <c r="U1022" s="1305"/>
      <c r="V1022" s="1305"/>
      <c r="W1022" s="1305"/>
      <c r="X1022" s="1305"/>
      <c r="Y1022" s="1305"/>
      <c r="Z1022" s="1305"/>
      <c r="AA1022" s="1305"/>
      <c r="AB1022" s="1305"/>
      <c r="AC1022" s="1305"/>
      <c r="AD1022" s="1305"/>
      <c r="AE1022" s="1306"/>
      <c r="AF1022" s="79"/>
      <c r="AG1022" s="1307" t="s">
        <v>668</v>
      </c>
      <c r="AH1022" s="1308"/>
      <c r="AI1022" s="79"/>
      <c r="AJ1022" s="1348">
        <f>ROUND(IF(AG1022="yes",AJ1001*0.02,0),0)</f>
        <v>0</v>
      </c>
      <c r="AK1022" s="1349"/>
      <c r="AL1022" s="1349"/>
      <c r="AM1022" s="1349"/>
      <c r="AN1022" s="1349"/>
      <c r="AO1022" s="1349"/>
      <c r="AP1022" s="1349"/>
      <c r="AQ1022" s="1350"/>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275" t="s">
        <v>1289</v>
      </c>
      <c r="E1023" s="1276"/>
      <c r="F1023" s="1276"/>
      <c r="G1023" s="1276"/>
      <c r="H1023" s="1276"/>
      <c r="I1023" s="1276"/>
      <c r="J1023" s="1276"/>
      <c r="K1023" s="1276"/>
      <c r="L1023" s="1276"/>
      <c r="M1023" s="1276"/>
      <c r="N1023" s="1276"/>
      <c r="O1023" s="1276"/>
      <c r="P1023" s="1276"/>
      <c r="Q1023" s="1276"/>
      <c r="R1023" s="1276"/>
      <c r="S1023" s="1276"/>
      <c r="T1023" s="1276"/>
      <c r="U1023" s="1276"/>
      <c r="V1023" s="1276"/>
      <c r="W1023" s="1276"/>
      <c r="X1023" s="1276"/>
      <c r="Y1023" s="1276"/>
      <c r="Z1023" s="1276"/>
      <c r="AA1023" s="1276"/>
      <c r="AB1023" s="1276"/>
      <c r="AC1023" s="1276"/>
      <c r="AD1023" s="1276"/>
      <c r="AE1023" s="1277"/>
      <c r="AF1023" s="1336" t="str">
        <f>IF(AND(AG1022="yes",T212&lt;&gt;1),"The project may not be eligible for this boost","")</f>
        <v/>
      </c>
      <c r="AG1023" s="1337"/>
      <c r="AH1023" s="1337"/>
      <c r="AI1023" s="1338"/>
      <c r="AJ1023" s="1351"/>
      <c r="AK1023" s="1352"/>
      <c r="AL1023" s="1352"/>
      <c r="AM1023" s="1352"/>
      <c r="AN1023" s="1352"/>
      <c r="AO1023" s="1352"/>
      <c r="AP1023" s="1352"/>
      <c r="AQ1023" s="1353"/>
      <c r="AR1023" s="68"/>
      <c r="AS1023" s="68"/>
      <c r="AT1023" s="68"/>
      <c r="AU1023" s="68"/>
      <c r="AV1023" s="68"/>
      <c r="AW1023" s="68"/>
      <c r="AX1023" s="3">
        <v>2</v>
      </c>
      <c r="AY1023" s="200">
        <f t="shared" ref="AY1023:AY1032" si="79">IF((_xlfn.XLOOKUP(AX1023,$C$1074:$C$1112,$A$1074:$A$1112,"",0,1))="Yes",AZ1023,0)</f>
        <v>0</v>
      </c>
      <c r="AZ1023" s="1189">
        <v>0.15</v>
      </c>
    </row>
    <row r="1024" spans="1:55" ht="12.95" customHeight="1">
      <c r="A1024" s="14"/>
      <c r="B1024" s="75"/>
      <c r="C1024" s="76"/>
      <c r="D1024" s="1357"/>
      <c r="E1024" s="1358"/>
      <c r="F1024" s="1358"/>
      <c r="G1024" s="1358"/>
      <c r="H1024" s="1358"/>
      <c r="I1024" s="1358"/>
      <c r="J1024" s="1358"/>
      <c r="K1024" s="1358"/>
      <c r="L1024" s="1358"/>
      <c r="M1024" s="1358"/>
      <c r="N1024" s="1358"/>
      <c r="O1024" s="1358"/>
      <c r="P1024" s="1358"/>
      <c r="Q1024" s="1358"/>
      <c r="R1024" s="1358"/>
      <c r="S1024" s="1358"/>
      <c r="T1024" s="1358"/>
      <c r="U1024" s="1358"/>
      <c r="V1024" s="1358"/>
      <c r="W1024" s="1358"/>
      <c r="X1024" s="1358"/>
      <c r="Y1024" s="1358"/>
      <c r="Z1024" s="1358"/>
      <c r="AA1024" s="1358"/>
      <c r="AB1024" s="1358"/>
      <c r="AC1024" s="1358"/>
      <c r="AD1024" s="1358"/>
      <c r="AE1024" s="1359"/>
      <c r="AF1024" s="1339"/>
      <c r="AG1024" s="1340"/>
      <c r="AH1024" s="1340"/>
      <c r="AI1024" s="1341"/>
      <c r="AJ1024" s="1354"/>
      <c r="AK1024" s="1355"/>
      <c r="AL1024" s="1355"/>
      <c r="AM1024" s="1355"/>
      <c r="AN1024" s="1355"/>
      <c r="AO1024" s="1355"/>
      <c r="AP1024" s="1355"/>
      <c r="AQ1024" s="1356"/>
      <c r="AR1024" s="68"/>
      <c r="AS1024" s="68"/>
      <c r="AT1024" s="68"/>
      <c r="AU1024" s="68"/>
      <c r="AV1024" s="68"/>
      <c r="AW1024" s="68"/>
      <c r="AX1024" s="3">
        <v>3</v>
      </c>
      <c r="AY1024" s="200">
        <f t="shared" si="79"/>
        <v>0</v>
      </c>
      <c r="AZ1024" s="1189">
        <v>0.05</v>
      </c>
    </row>
    <row r="1025" spans="1:52" ht="12.95" customHeight="1">
      <c r="A1025" s="14"/>
      <c r="B1025" s="79"/>
      <c r="C1025" s="80" t="s">
        <v>218</v>
      </c>
      <c r="D1025" s="1496" t="s">
        <v>2188</v>
      </c>
      <c r="E1025" s="1497"/>
      <c r="F1025" s="1497"/>
      <c r="G1025" s="1497"/>
      <c r="H1025" s="1497"/>
      <c r="I1025" s="1497"/>
      <c r="J1025" s="1497"/>
      <c r="K1025" s="1497"/>
      <c r="L1025" s="1497"/>
      <c r="M1025" s="1497"/>
      <c r="N1025" s="1497"/>
      <c r="O1025" s="1497"/>
      <c r="P1025" s="1497"/>
      <c r="Q1025" s="1497"/>
      <c r="R1025" s="1497"/>
      <c r="S1025" s="1497"/>
      <c r="T1025" s="1497"/>
      <c r="U1025" s="1497"/>
      <c r="V1025" s="1497"/>
      <c r="W1025" s="1497"/>
      <c r="X1025" s="1497"/>
      <c r="Y1025" s="1497"/>
      <c r="Z1025" s="1497"/>
      <c r="AA1025" s="1497"/>
      <c r="AB1025" s="1497"/>
      <c r="AC1025" s="1497"/>
      <c r="AD1025" s="1497"/>
      <c r="AE1025" s="1498"/>
      <c r="AF1025" s="79"/>
      <c r="AG1025" s="1307" t="s">
        <v>668</v>
      </c>
      <c r="AH1025" s="1308"/>
      <c r="AI1025" s="87"/>
      <c r="AJ1025" s="1348">
        <f>IF(AG1025="yes",AJ1001*AY1033,0)</f>
        <v>0</v>
      </c>
      <c r="AK1025" s="1349"/>
      <c r="AL1025" s="1349"/>
      <c r="AM1025" s="1349"/>
      <c r="AN1025" s="1349"/>
      <c r="AO1025" s="1349"/>
      <c r="AP1025" s="1349"/>
      <c r="AQ1025" s="1350"/>
      <c r="AR1025" s="68"/>
      <c r="AS1025" s="68"/>
      <c r="AT1025" s="68"/>
      <c r="AU1025" s="68"/>
      <c r="AV1025" s="68"/>
      <c r="AW1025" s="68"/>
      <c r="AX1025" s="3">
        <v>4</v>
      </c>
      <c r="AY1025" s="200">
        <f t="shared" si="79"/>
        <v>0</v>
      </c>
      <c r="AZ1025" s="1189">
        <v>0.02</v>
      </c>
    </row>
    <row r="1026" spans="1:52" ht="12.95" customHeight="1">
      <c r="A1026" s="14"/>
      <c r="B1026" s="73"/>
      <c r="C1026" s="74"/>
      <c r="D1026" s="1275" t="s">
        <v>2586</v>
      </c>
      <c r="E1026" s="1276"/>
      <c r="F1026" s="1276"/>
      <c r="G1026" s="1276"/>
      <c r="H1026" s="1276"/>
      <c r="I1026" s="1276"/>
      <c r="J1026" s="1276"/>
      <c r="K1026" s="1276"/>
      <c r="L1026" s="1276"/>
      <c r="M1026" s="1276"/>
      <c r="N1026" s="1276"/>
      <c r="O1026" s="1276"/>
      <c r="P1026" s="1276"/>
      <c r="Q1026" s="1276"/>
      <c r="R1026" s="1276"/>
      <c r="S1026" s="1276"/>
      <c r="T1026" s="1276"/>
      <c r="U1026" s="1276"/>
      <c r="V1026" s="1276"/>
      <c r="W1026" s="1276"/>
      <c r="X1026" s="1276"/>
      <c r="Y1026" s="1276"/>
      <c r="Z1026" s="1276"/>
      <c r="AA1026" s="1276"/>
      <c r="AB1026" s="1276"/>
      <c r="AC1026" s="1276"/>
      <c r="AD1026" s="1276"/>
      <c r="AE1026" s="1277"/>
      <c r="AF1026" s="1330" t="str">
        <f>IF(AND(AG1025="Yes",AY1033=0),AY1036,"")</f>
        <v/>
      </c>
      <c r="AG1026" s="1331"/>
      <c r="AH1026" s="1331"/>
      <c r="AI1026" s="1332"/>
      <c r="AJ1026" s="1351"/>
      <c r="AK1026" s="1352"/>
      <c r="AL1026" s="1352"/>
      <c r="AM1026" s="1352"/>
      <c r="AN1026" s="1352"/>
      <c r="AO1026" s="1352"/>
      <c r="AP1026" s="1352"/>
      <c r="AQ1026" s="1353"/>
      <c r="AR1026" s="68"/>
      <c r="AS1026" s="68"/>
      <c r="AT1026" s="68"/>
      <c r="AU1026" s="68"/>
      <c r="AV1026" s="68"/>
      <c r="AW1026" s="68"/>
      <c r="AX1026" s="3">
        <v>5</v>
      </c>
      <c r="AY1026" s="200">
        <f t="shared" si="79"/>
        <v>0</v>
      </c>
      <c r="AZ1026" s="1189">
        <v>0.04</v>
      </c>
    </row>
    <row r="1027" spans="1:52" ht="12.95" customHeight="1">
      <c r="A1027" s="14"/>
      <c r="B1027" s="73"/>
      <c r="C1027" s="74"/>
      <c r="D1027" s="1275"/>
      <c r="E1027" s="1276"/>
      <c r="F1027" s="1276"/>
      <c r="G1027" s="1276"/>
      <c r="H1027" s="1276"/>
      <c r="I1027" s="1276"/>
      <c r="J1027" s="1276"/>
      <c r="K1027" s="1276"/>
      <c r="L1027" s="1276"/>
      <c r="M1027" s="1276"/>
      <c r="N1027" s="1276"/>
      <c r="O1027" s="1276"/>
      <c r="P1027" s="1276"/>
      <c r="Q1027" s="1276"/>
      <c r="R1027" s="1276"/>
      <c r="S1027" s="1276"/>
      <c r="T1027" s="1276"/>
      <c r="U1027" s="1276"/>
      <c r="V1027" s="1276"/>
      <c r="W1027" s="1276"/>
      <c r="X1027" s="1276"/>
      <c r="Y1027" s="1276"/>
      <c r="Z1027" s="1276"/>
      <c r="AA1027" s="1276"/>
      <c r="AB1027" s="1276"/>
      <c r="AC1027" s="1276"/>
      <c r="AD1027" s="1276"/>
      <c r="AE1027" s="1277"/>
      <c r="AF1027" s="1330"/>
      <c r="AG1027" s="1331"/>
      <c r="AH1027" s="1331"/>
      <c r="AI1027" s="1332"/>
      <c r="AJ1027" s="1351"/>
      <c r="AK1027" s="1352"/>
      <c r="AL1027" s="1352"/>
      <c r="AM1027" s="1352"/>
      <c r="AN1027" s="1352"/>
      <c r="AO1027" s="1352"/>
      <c r="AP1027" s="1352"/>
      <c r="AQ1027" s="1353"/>
      <c r="AR1027" s="68"/>
      <c r="AS1027" s="68"/>
      <c r="AT1027" s="68"/>
      <c r="AU1027" s="68"/>
      <c r="AV1027" s="68"/>
      <c r="AW1027" s="68"/>
      <c r="AX1027" s="3">
        <v>6</v>
      </c>
      <c r="AY1027" s="200">
        <f t="shared" si="79"/>
        <v>0</v>
      </c>
      <c r="AZ1027" s="1189">
        <v>0.04</v>
      </c>
    </row>
    <row r="1028" spans="1:52" ht="12.95" customHeight="1">
      <c r="A1028" s="14"/>
      <c r="B1028" s="81"/>
      <c r="C1028" s="82"/>
      <c r="D1028" s="1357"/>
      <c r="E1028" s="1358"/>
      <c r="F1028" s="1358"/>
      <c r="G1028" s="1358"/>
      <c r="H1028" s="1358"/>
      <c r="I1028" s="1358"/>
      <c r="J1028" s="1358"/>
      <c r="K1028" s="1358"/>
      <c r="L1028" s="1358"/>
      <c r="M1028" s="1358"/>
      <c r="N1028" s="1358"/>
      <c r="O1028" s="1358"/>
      <c r="P1028" s="1358"/>
      <c r="Q1028" s="1358"/>
      <c r="R1028" s="1358"/>
      <c r="S1028" s="1358"/>
      <c r="T1028" s="1358"/>
      <c r="U1028" s="1358"/>
      <c r="V1028" s="1358"/>
      <c r="W1028" s="1358"/>
      <c r="X1028" s="1358"/>
      <c r="Y1028" s="1358"/>
      <c r="Z1028" s="1358"/>
      <c r="AA1028" s="1358"/>
      <c r="AB1028" s="1358"/>
      <c r="AC1028" s="1358"/>
      <c r="AD1028" s="1358"/>
      <c r="AE1028" s="1359"/>
      <c r="AF1028" s="1333"/>
      <c r="AG1028" s="1334"/>
      <c r="AH1028" s="1334"/>
      <c r="AI1028" s="1335"/>
      <c r="AJ1028" s="1354"/>
      <c r="AK1028" s="1355"/>
      <c r="AL1028" s="1355"/>
      <c r="AM1028" s="1355"/>
      <c r="AN1028" s="1355"/>
      <c r="AO1028" s="1355"/>
      <c r="AP1028" s="1355"/>
      <c r="AQ1028" s="1356"/>
      <c r="AR1028" s="68"/>
      <c r="AS1028" s="68"/>
      <c r="AT1028" s="68"/>
      <c r="AU1028" s="68"/>
      <c r="AV1028" s="68"/>
      <c r="AW1028" s="68"/>
      <c r="AX1028" s="3">
        <v>7</v>
      </c>
      <c r="AY1028" s="200">
        <f t="shared" si="79"/>
        <v>0</v>
      </c>
      <c r="AZ1028" s="1189">
        <v>0.01</v>
      </c>
    </row>
    <row r="1029" spans="1:52" ht="12.95" customHeight="1">
      <c r="A1029" s="14"/>
      <c r="B1029" s="79"/>
      <c r="C1029" s="80" t="s">
        <v>223</v>
      </c>
      <c r="D1029" s="1532" t="s">
        <v>1290</v>
      </c>
      <c r="E1029" s="1533"/>
      <c r="F1029" s="1533"/>
      <c r="G1029" s="1533"/>
      <c r="H1029" s="1533"/>
      <c r="I1029" s="1533"/>
      <c r="J1029" s="1533"/>
      <c r="K1029" s="1533"/>
      <c r="L1029" s="1533"/>
      <c r="M1029" s="1533"/>
      <c r="N1029" s="1533"/>
      <c r="O1029" s="1533"/>
      <c r="P1029" s="1533"/>
      <c r="Q1029" s="1533"/>
      <c r="R1029" s="1533"/>
      <c r="S1029" s="1533"/>
      <c r="T1029" s="1533"/>
      <c r="U1029" s="1533"/>
      <c r="V1029" s="1533"/>
      <c r="W1029" s="1533"/>
      <c r="X1029" s="1533"/>
      <c r="Y1029" s="1533"/>
      <c r="Z1029" s="1533"/>
      <c r="AA1029" s="1533"/>
      <c r="AB1029" s="1533"/>
      <c r="AC1029" s="1533"/>
      <c r="AD1029" s="1533"/>
      <c r="AE1029" s="1534"/>
      <c r="AF1029" s="79"/>
      <c r="AG1029" s="1307" t="s">
        <v>668</v>
      </c>
      <c r="AH1029" s="1308"/>
      <c r="AI1029" s="87"/>
      <c r="AJ1029" s="1348">
        <f>ROUND(IF(AND(AG1029="Yes",J1033&lt;&gt;"N/A",AF1032&lt;&gt;""),MIN(AF1032,(0.15*AJ1001)),0),0)</f>
        <v>0</v>
      </c>
      <c r="AK1029" s="1349"/>
      <c r="AL1029" s="1349"/>
      <c r="AM1029" s="1349"/>
      <c r="AN1029" s="1349"/>
      <c r="AO1029" s="1349"/>
      <c r="AP1029" s="1349"/>
      <c r="AQ1029" s="1350"/>
      <c r="AR1029" s="68"/>
      <c r="AS1029" s="68"/>
      <c r="AT1029" s="68"/>
      <c r="AU1029" s="68"/>
      <c r="AV1029" s="68"/>
      <c r="AW1029" s="68"/>
      <c r="AX1029" s="3">
        <v>8</v>
      </c>
      <c r="AY1029" s="200">
        <f t="shared" si="79"/>
        <v>0</v>
      </c>
      <c r="AZ1029" s="1189">
        <v>0.01</v>
      </c>
    </row>
    <row r="1030" spans="1:52" ht="12.95" customHeight="1">
      <c r="A1030" s="14"/>
      <c r="B1030" s="81"/>
      <c r="C1030" s="84"/>
      <c r="D1030" s="1535"/>
      <c r="E1030" s="1536"/>
      <c r="F1030" s="1536"/>
      <c r="G1030" s="1536"/>
      <c r="H1030" s="1536"/>
      <c r="I1030" s="1536"/>
      <c r="J1030" s="1536"/>
      <c r="K1030" s="1536"/>
      <c r="L1030" s="1536"/>
      <c r="M1030" s="1536"/>
      <c r="N1030" s="1536"/>
      <c r="O1030" s="1536"/>
      <c r="P1030" s="1536"/>
      <c r="Q1030" s="1536"/>
      <c r="R1030" s="1536"/>
      <c r="S1030" s="1536"/>
      <c r="T1030" s="1536"/>
      <c r="U1030" s="1536"/>
      <c r="V1030" s="1536"/>
      <c r="W1030" s="1536"/>
      <c r="X1030" s="1536"/>
      <c r="Y1030" s="1536"/>
      <c r="Z1030" s="1536"/>
      <c r="AA1030" s="1536"/>
      <c r="AB1030" s="1536"/>
      <c r="AC1030" s="1536"/>
      <c r="AD1030" s="1536"/>
      <c r="AE1030" s="1537"/>
      <c r="AF1030" s="1511" t="str">
        <f>IF(AG1029="yes","Please Select Type and Enter Amount:","")</f>
        <v/>
      </c>
      <c r="AG1030" s="1512"/>
      <c r="AH1030" s="1512"/>
      <c r="AI1030" s="1513"/>
      <c r="AJ1030" s="1351"/>
      <c r="AK1030" s="1352"/>
      <c r="AL1030" s="1352"/>
      <c r="AM1030" s="1352"/>
      <c r="AN1030" s="1352"/>
      <c r="AO1030" s="1352"/>
      <c r="AP1030" s="1352"/>
      <c r="AQ1030" s="1353"/>
      <c r="AR1030" s="68"/>
      <c r="AS1030" s="68"/>
      <c r="AT1030" s="68"/>
      <c r="AU1030" s="68"/>
      <c r="AV1030" s="68"/>
      <c r="AW1030" s="68"/>
      <c r="AX1030" s="3">
        <v>9</v>
      </c>
      <c r="AY1030" s="200">
        <f t="shared" si="79"/>
        <v>0</v>
      </c>
      <c r="AZ1030" s="1189">
        <v>0.01</v>
      </c>
    </row>
    <row r="1031" spans="1:52" ht="12.95" customHeight="1">
      <c r="A1031" s="14"/>
      <c r="B1031" s="81"/>
      <c r="C1031" s="84"/>
      <c r="D1031" s="1275" t="s">
        <v>1291</v>
      </c>
      <c r="E1031" s="1276"/>
      <c r="F1031" s="1276"/>
      <c r="G1031" s="1276"/>
      <c r="H1031" s="1276"/>
      <c r="I1031" s="1276"/>
      <c r="J1031" s="1276"/>
      <c r="K1031" s="1276"/>
      <c r="L1031" s="1276"/>
      <c r="M1031" s="1276"/>
      <c r="N1031" s="1276"/>
      <c r="O1031" s="1276"/>
      <c r="P1031" s="1276"/>
      <c r="Q1031" s="1276"/>
      <c r="R1031" s="1276"/>
      <c r="S1031" s="1276"/>
      <c r="T1031" s="1276"/>
      <c r="U1031" s="1276"/>
      <c r="V1031" s="1276"/>
      <c r="W1031" s="1276"/>
      <c r="X1031" s="1276"/>
      <c r="Y1031" s="1276"/>
      <c r="Z1031" s="1276"/>
      <c r="AA1031" s="1276"/>
      <c r="AB1031" s="1276"/>
      <c r="AC1031" s="1276"/>
      <c r="AD1031" s="1276"/>
      <c r="AE1031" s="1277"/>
      <c r="AF1031" s="1511"/>
      <c r="AG1031" s="1512"/>
      <c r="AH1031" s="1512"/>
      <c r="AI1031" s="1513"/>
      <c r="AJ1031" s="1351"/>
      <c r="AK1031" s="1352"/>
      <c r="AL1031" s="1352"/>
      <c r="AM1031" s="1352"/>
      <c r="AN1031" s="1352"/>
      <c r="AO1031" s="1352"/>
      <c r="AP1031" s="1352"/>
      <c r="AQ1031" s="1353"/>
      <c r="AR1031" s="68"/>
      <c r="AS1031" s="68"/>
      <c r="AT1031" s="68"/>
      <c r="AU1031" s="68"/>
      <c r="AV1031" s="68"/>
      <c r="AW1031" s="68"/>
      <c r="AX1031" s="3">
        <v>10</v>
      </c>
      <c r="AY1031" s="200">
        <f t="shared" si="79"/>
        <v>0</v>
      </c>
      <c r="AZ1031" s="1189">
        <v>0.02</v>
      </c>
    </row>
    <row r="1032" spans="1:52" ht="12.95" customHeight="1">
      <c r="A1032" s="14"/>
      <c r="B1032" s="81"/>
      <c r="C1032" s="84"/>
      <c r="D1032" s="1275"/>
      <c r="E1032" s="1276"/>
      <c r="F1032" s="1276"/>
      <c r="G1032" s="1276"/>
      <c r="H1032" s="1276"/>
      <c r="I1032" s="1276"/>
      <c r="J1032" s="1276"/>
      <c r="K1032" s="1276"/>
      <c r="L1032" s="1276"/>
      <c r="M1032" s="1276"/>
      <c r="N1032" s="1276"/>
      <c r="O1032" s="1276"/>
      <c r="P1032" s="1276"/>
      <c r="Q1032" s="1276"/>
      <c r="R1032" s="1276"/>
      <c r="S1032" s="1276"/>
      <c r="T1032" s="1276"/>
      <c r="U1032" s="1276"/>
      <c r="V1032" s="1276"/>
      <c r="W1032" s="1276"/>
      <c r="X1032" s="1276"/>
      <c r="Y1032" s="1276"/>
      <c r="Z1032" s="1276"/>
      <c r="AA1032" s="1276"/>
      <c r="AB1032" s="1276"/>
      <c r="AC1032" s="1276"/>
      <c r="AD1032" s="1276"/>
      <c r="AE1032" s="1277"/>
      <c r="AF1032" s="1298"/>
      <c r="AG1032" s="1298"/>
      <c r="AH1032" s="1298"/>
      <c r="AI1032" s="1298"/>
      <c r="AJ1032" s="1351"/>
      <c r="AK1032" s="1352"/>
      <c r="AL1032" s="1352"/>
      <c r="AM1032" s="1352"/>
      <c r="AN1032" s="1352"/>
      <c r="AO1032" s="1352"/>
      <c r="AP1032" s="1352"/>
      <c r="AQ1032" s="1353"/>
      <c r="AR1032" s="68"/>
      <c r="AS1032" s="68"/>
      <c r="AT1032" s="68"/>
      <c r="AU1032" s="68"/>
      <c r="AV1032" s="68"/>
      <c r="AW1032" s="68"/>
      <c r="AX1032" s="3">
        <v>11</v>
      </c>
      <c r="AY1032" s="200">
        <f t="shared" si="79"/>
        <v>0</v>
      </c>
      <c r="AZ1032" s="1189">
        <v>0.02</v>
      </c>
    </row>
    <row r="1033" spans="1:52" ht="12.95" customHeight="1">
      <c r="A1033" s="14"/>
      <c r="B1033" s="81"/>
      <c r="C1033" s="84"/>
      <c r="D1033" s="526" t="s">
        <v>359</v>
      </c>
      <c r="E1033" s="90"/>
      <c r="F1033" s="90"/>
      <c r="G1033" s="104"/>
      <c r="H1033" s="104"/>
      <c r="I1033" s="49"/>
      <c r="J1033" s="1519" t="s">
        <v>590</v>
      </c>
      <c r="K1033" s="1520"/>
      <c r="L1033" s="1520"/>
      <c r="M1033" s="1520"/>
      <c r="N1033" s="1520"/>
      <c r="O1033" s="1520"/>
      <c r="P1033" s="1520"/>
      <c r="Q1033" s="1520"/>
      <c r="R1033" s="1520"/>
      <c r="S1033" s="1520"/>
      <c r="T1033" s="1520"/>
      <c r="U1033" s="1520"/>
      <c r="V1033" s="1520"/>
      <c r="W1033" s="1520"/>
      <c r="X1033" s="1520"/>
      <c r="Y1033" s="1520"/>
      <c r="Z1033" s="1520"/>
      <c r="AA1033" s="1520"/>
      <c r="AB1033" s="1520"/>
      <c r="AC1033" s="1520"/>
      <c r="AD1033" s="1520"/>
      <c r="AE1033" s="1521"/>
      <c r="AF1033" s="1298"/>
      <c r="AG1033" s="1298"/>
      <c r="AH1033" s="1298"/>
      <c r="AI1033" s="1298"/>
      <c r="AJ1033" s="1354"/>
      <c r="AK1033" s="1355"/>
      <c r="AL1033" s="1355"/>
      <c r="AM1033" s="1355"/>
      <c r="AN1033" s="1355"/>
      <c r="AO1033" s="1355"/>
      <c r="AP1033" s="1355"/>
      <c r="AQ1033" s="1356"/>
      <c r="AR1033" s="68"/>
      <c r="AS1033" s="68"/>
      <c r="AT1033" s="68"/>
      <c r="AU1033" s="68"/>
      <c r="AV1033" s="68"/>
      <c r="AW1033" s="68"/>
      <c r="AX1033" s="1027" t="s">
        <v>2523</v>
      </c>
      <c r="AY1033" s="201">
        <f>IF(SUM(AY1022:AY1032)&lt;=0.2,SUM(AY1022:AY1032),0.2)</f>
        <v>0</v>
      </c>
    </row>
    <row r="1034" spans="1:52" ht="12.95" customHeight="1">
      <c r="A1034" s="14"/>
      <c r="B1034" s="79"/>
      <c r="C1034" s="80" t="s">
        <v>229</v>
      </c>
      <c r="D1034" s="1304" t="s">
        <v>1292</v>
      </c>
      <c r="E1034" s="1305"/>
      <c r="F1034" s="1305"/>
      <c r="G1034" s="1305"/>
      <c r="H1034" s="1305"/>
      <c r="I1034" s="1305"/>
      <c r="J1034" s="1305"/>
      <c r="K1034" s="1305"/>
      <c r="L1034" s="1305"/>
      <c r="M1034" s="1305"/>
      <c r="N1034" s="1305"/>
      <c r="O1034" s="1305"/>
      <c r="P1034" s="1305"/>
      <c r="Q1034" s="1305"/>
      <c r="R1034" s="1305"/>
      <c r="S1034" s="1305"/>
      <c r="T1034" s="1305"/>
      <c r="U1034" s="1305"/>
      <c r="V1034" s="1305"/>
      <c r="W1034" s="1305"/>
      <c r="X1034" s="1305"/>
      <c r="Y1034" s="1305"/>
      <c r="Z1034" s="1305"/>
      <c r="AA1034" s="1305"/>
      <c r="AB1034" s="1305"/>
      <c r="AC1034" s="1305"/>
      <c r="AD1034" s="1305"/>
      <c r="AE1034" s="1306"/>
      <c r="AF1034" s="79"/>
      <c r="AG1034" s="1307" t="s">
        <v>668</v>
      </c>
      <c r="AH1034" s="1308"/>
      <c r="AI1034" s="87"/>
      <c r="AJ1034" s="1348">
        <f>ROUND(IF(AG1034="Yes",AF1036,0),0)</f>
        <v>0</v>
      </c>
      <c r="AK1034" s="1349"/>
      <c r="AL1034" s="1349"/>
      <c r="AM1034" s="1349"/>
      <c r="AN1034" s="1349"/>
      <c r="AO1034" s="1349"/>
      <c r="AP1034" s="1349"/>
      <c r="AQ1034" s="1350"/>
      <c r="AR1034" s="68"/>
      <c r="AS1034" s="68"/>
      <c r="AT1034" s="68"/>
      <c r="AU1034" s="68"/>
      <c r="AV1034" s="68"/>
      <c r="AW1034" s="68"/>
      <c r="AX1034" s="68"/>
      <c r="AY1034" s="68"/>
    </row>
    <row r="1035" spans="1:52" ht="12.95" customHeight="1">
      <c r="A1035" s="14"/>
      <c r="B1035" s="73"/>
      <c r="C1035" s="74"/>
      <c r="D1035" s="1275" t="s">
        <v>1678</v>
      </c>
      <c r="E1035" s="1276"/>
      <c r="F1035" s="1276"/>
      <c r="G1035" s="1276"/>
      <c r="H1035" s="1276"/>
      <c r="I1035" s="1276"/>
      <c r="J1035" s="1276"/>
      <c r="K1035" s="1276"/>
      <c r="L1035" s="1276"/>
      <c r="M1035" s="1276"/>
      <c r="N1035" s="1276"/>
      <c r="O1035" s="1276"/>
      <c r="P1035" s="1276"/>
      <c r="Q1035" s="1276"/>
      <c r="R1035" s="1276"/>
      <c r="S1035" s="1276"/>
      <c r="T1035" s="1276"/>
      <c r="U1035" s="1276"/>
      <c r="V1035" s="1276"/>
      <c r="W1035" s="1276"/>
      <c r="X1035" s="1276"/>
      <c r="Y1035" s="1276"/>
      <c r="Z1035" s="1276"/>
      <c r="AA1035" s="1276"/>
      <c r="AB1035" s="1276"/>
      <c r="AC1035" s="1276"/>
      <c r="AD1035" s="1276"/>
      <c r="AE1035" s="1277"/>
      <c r="AF1035" s="1572" t="str">
        <f>IF(AG1034="yes","Enter Amount:","")</f>
        <v/>
      </c>
      <c r="AG1035" s="1573"/>
      <c r="AH1035" s="1573"/>
      <c r="AI1035" s="1574"/>
      <c r="AJ1035" s="1351"/>
      <c r="AK1035" s="1352"/>
      <c r="AL1035" s="1352"/>
      <c r="AM1035" s="1352"/>
      <c r="AN1035" s="1352"/>
      <c r="AO1035" s="1352"/>
      <c r="AP1035" s="1352"/>
      <c r="AQ1035" s="1353"/>
      <c r="AR1035" s="68"/>
      <c r="AS1035" s="68"/>
      <c r="AT1035" s="68"/>
      <c r="AU1035" s="68"/>
      <c r="AV1035" s="68"/>
      <c r="AW1035" s="68"/>
      <c r="AX1035" s="68"/>
      <c r="AY1035" s="68"/>
    </row>
    <row r="1036" spans="1:52" ht="12.95" customHeight="1">
      <c r="A1036" s="14"/>
      <c r="B1036" s="73"/>
      <c r="C1036" s="74"/>
      <c r="D1036" s="1275"/>
      <c r="E1036" s="1276"/>
      <c r="F1036" s="1276"/>
      <c r="G1036" s="1276"/>
      <c r="H1036" s="1276"/>
      <c r="I1036" s="1276"/>
      <c r="J1036" s="1276"/>
      <c r="K1036" s="1276"/>
      <c r="L1036" s="1276"/>
      <c r="M1036" s="1276"/>
      <c r="N1036" s="1276"/>
      <c r="O1036" s="1276"/>
      <c r="P1036" s="1276"/>
      <c r="Q1036" s="1276"/>
      <c r="R1036" s="1276"/>
      <c r="S1036" s="1276"/>
      <c r="T1036" s="1276"/>
      <c r="U1036" s="1276"/>
      <c r="V1036" s="1276"/>
      <c r="W1036" s="1276"/>
      <c r="X1036" s="1276"/>
      <c r="Y1036" s="1276"/>
      <c r="Z1036" s="1276"/>
      <c r="AA1036" s="1276"/>
      <c r="AB1036" s="1276"/>
      <c r="AC1036" s="1276"/>
      <c r="AD1036" s="1276"/>
      <c r="AE1036" s="1277"/>
      <c r="AF1036" s="1298"/>
      <c r="AG1036" s="1298"/>
      <c r="AH1036" s="1298"/>
      <c r="AI1036" s="1298"/>
      <c r="AJ1036" s="1351"/>
      <c r="AK1036" s="1352"/>
      <c r="AL1036" s="1352"/>
      <c r="AM1036" s="1352"/>
      <c r="AN1036" s="1352"/>
      <c r="AO1036" s="1352"/>
      <c r="AP1036" s="1352"/>
      <c r="AQ1036" s="1353"/>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357"/>
      <c r="E1037" s="1358"/>
      <c r="F1037" s="1358"/>
      <c r="G1037" s="1358"/>
      <c r="H1037" s="1358"/>
      <c r="I1037" s="1358"/>
      <c r="J1037" s="1358"/>
      <c r="K1037" s="1358"/>
      <c r="L1037" s="1358"/>
      <c r="M1037" s="1358"/>
      <c r="N1037" s="1358"/>
      <c r="O1037" s="1358"/>
      <c r="P1037" s="1358"/>
      <c r="Q1037" s="1358"/>
      <c r="R1037" s="1358"/>
      <c r="S1037" s="1358"/>
      <c r="T1037" s="1358"/>
      <c r="U1037" s="1358"/>
      <c r="V1037" s="1358"/>
      <c r="W1037" s="1358"/>
      <c r="X1037" s="1358"/>
      <c r="Y1037" s="1358"/>
      <c r="Z1037" s="1358"/>
      <c r="AA1037" s="1358"/>
      <c r="AB1037" s="1358"/>
      <c r="AC1037" s="1358"/>
      <c r="AD1037" s="1358"/>
      <c r="AE1037" s="1359"/>
      <c r="AF1037" s="1298"/>
      <c r="AG1037" s="1298"/>
      <c r="AH1037" s="1298"/>
      <c r="AI1037" s="1298"/>
      <c r="AJ1037" s="1354"/>
      <c r="AK1037" s="1355"/>
      <c r="AL1037" s="1355"/>
      <c r="AM1037" s="1355"/>
      <c r="AN1037" s="1355"/>
      <c r="AO1037" s="1355"/>
      <c r="AP1037" s="1355"/>
      <c r="AQ1037" s="1356"/>
      <c r="AR1037" s="68"/>
      <c r="AS1037" s="68"/>
      <c r="AT1037" s="68"/>
      <c r="AU1037" s="68"/>
      <c r="AV1037" s="68"/>
      <c r="AW1037" s="68"/>
      <c r="AX1037" s="68"/>
      <c r="AY1037" s="68"/>
    </row>
    <row r="1038" spans="1:52" ht="12.95" customHeight="1">
      <c r="A1038" s="14"/>
      <c r="B1038" s="79"/>
      <c r="C1038" s="80" t="s">
        <v>234</v>
      </c>
      <c r="D1038" s="1496" t="s">
        <v>1293</v>
      </c>
      <c r="E1038" s="1497"/>
      <c r="F1038" s="1497"/>
      <c r="G1038" s="1497"/>
      <c r="H1038" s="1497"/>
      <c r="I1038" s="1497"/>
      <c r="J1038" s="1497"/>
      <c r="K1038" s="1497"/>
      <c r="L1038" s="1497"/>
      <c r="M1038" s="1497"/>
      <c r="N1038" s="1497"/>
      <c r="O1038" s="1497"/>
      <c r="P1038" s="1497"/>
      <c r="Q1038" s="1497"/>
      <c r="R1038" s="1497"/>
      <c r="S1038" s="1497"/>
      <c r="T1038" s="1497"/>
      <c r="U1038" s="1497"/>
      <c r="V1038" s="1497"/>
      <c r="W1038" s="1497"/>
      <c r="X1038" s="1497"/>
      <c r="Y1038" s="1497"/>
      <c r="Z1038" s="1497"/>
      <c r="AA1038" s="1497"/>
      <c r="AB1038" s="1497"/>
      <c r="AC1038" s="1497"/>
      <c r="AD1038" s="1497"/>
      <c r="AE1038" s="1498"/>
      <c r="AF1038" s="79"/>
      <c r="AG1038" s="1307" t="s">
        <v>668</v>
      </c>
      <c r="AH1038" s="1308"/>
      <c r="AI1038" s="87"/>
      <c r="AJ1038" s="1348">
        <f>ROUND(IF(AG1038="yes",(AJ1001*0.1),0),0)</f>
        <v>0</v>
      </c>
      <c r="AK1038" s="1349"/>
      <c r="AL1038" s="1349"/>
      <c r="AM1038" s="1349"/>
      <c r="AN1038" s="1349"/>
      <c r="AO1038" s="1349"/>
      <c r="AP1038" s="1349"/>
      <c r="AQ1038" s="1350"/>
      <c r="AR1038" s="68"/>
      <c r="AS1038" s="68"/>
      <c r="AT1038" s="68"/>
      <c r="AU1038" s="68"/>
      <c r="AV1038" s="68"/>
      <c r="AW1038" s="68"/>
      <c r="AX1038" s="68"/>
      <c r="AY1038" s="68"/>
    </row>
    <row r="1039" spans="1:52" ht="12.95" customHeight="1">
      <c r="A1039" s="14"/>
      <c r="B1039" s="73"/>
      <c r="C1039" s="74"/>
      <c r="D1039" s="1275" t="s">
        <v>1294</v>
      </c>
      <c r="E1039" s="1276"/>
      <c r="F1039" s="1276"/>
      <c r="G1039" s="1276"/>
      <c r="H1039" s="1276"/>
      <c r="I1039" s="1276"/>
      <c r="J1039" s="1276"/>
      <c r="K1039" s="1276"/>
      <c r="L1039" s="1276"/>
      <c r="M1039" s="1276"/>
      <c r="N1039" s="1276"/>
      <c r="O1039" s="1276"/>
      <c r="P1039" s="1276"/>
      <c r="Q1039" s="1276"/>
      <c r="R1039" s="1276"/>
      <c r="S1039" s="1276"/>
      <c r="T1039" s="1276"/>
      <c r="U1039" s="1276"/>
      <c r="V1039" s="1276"/>
      <c r="W1039" s="1276"/>
      <c r="X1039" s="1276"/>
      <c r="Y1039" s="1276"/>
      <c r="Z1039" s="1276"/>
      <c r="AA1039" s="1276"/>
      <c r="AB1039" s="1276"/>
      <c r="AC1039" s="1276"/>
      <c r="AD1039" s="1276"/>
      <c r="AE1039" s="1277"/>
      <c r="AF1039" s="73"/>
      <c r="AG1039" s="14"/>
      <c r="AH1039" s="14"/>
      <c r="AI1039" s="83"/>
      <c r="AJ1039" s="1351"/>
      <c r="AK1039" s="1352"/>
      <c r="AL1039" s="1352"/>
      <c r="AM1039" s="1352"/>
      <c r="AN1039" s="1352"/>
      <c r="AO1039" s="1352"/>
      <c r="AP1039" s="1352"/>
      <c r="AQ1039" s="1353"/>
      <c r="AR1039" s="68"/>
      <c r="AS1039" s="68"/>
      <c r="AT1039" s="68"/>
      <c r="AU1039" s="68"/>
      <c r="AV1039" s="68"/>
      <c r="AW1039" s="68"/>
      <c r="AX1039" s="68"/>
      <c r="AY1039" s="68"/>
    </row>
    <row r="1040" spans="1:52" ht="12.95" customHeight="1">
      <c r="A1040" s="14"/>
      <c r="B1040" s="77"/>
      <c r="C1040" s="74"/>
      <c r="D1040" s="1357"/>
      <c r="E1040" s="1358"/>
      <c r="F1040" s="1358"/>
      <c r="G1040" s="1358"/>
      <c r="H1040" s="1358"/>
      <c r="I1040" s="1358"/>
      <c r="J1040" s="1358"/>
      <c r="K1040" s="1358"/>
      <c r="L1040" s="1358"/>
      <c r="M1040" s="1358"/>
      <c r="N1040" s="1358"/>
      <c r="O1040" s="1358"/>
      <c r="P1040" s="1358"/>
      <c r="Q1040" s="1358"/>
      <c r="R1040" s="1358"/>
      <c r="S1040" s="1358"/>
      <c r="T1040" s="1358"/>
      <c r="U1040" s="1358"/>
      <c r="V1040" s="1358"/>
      <c r="W1040" s="1358"/>
      <c r="X1040" s="1358"/>
      <c r="Y1040" s="1358"/>
      <c r="Z1040" s="1358"/>
      <c r="AA1040" s="1358"/>
      <c r="AB1040" s="1358"/>
      <c r="AC1040" s="1358"/>
      <c r="AD1040" s="1358"/>
      <c r="AE1040" s="1359"/>
      <c r="AF1040" s="73"/>
      <c r="AG1040" s="14"/>
      <c r="AH1040" s="14"/>
      <c r="AI1040" s="83"/>
      <c r="AJ1040" s="1354"/>
      <c r="AK1040" s="1355"/>
      <c r="AL1040" s="1355"/>
      <c r="AM1040" s="1355"/>
      <c r="AN1040" s="1355"/>
      <c r="AO1040" s="1355"/>
      <c r="AP1040" s="1355"/>
      <c r="AQ1040" s="1356"/>
      <c r="AR1040" s="68"/>
      <c r="AS1040" s="68"/>
      <c r="AT1040" s="68"/>
      <c r="AU1040" s="68"/>
      <c r="AV1040" s="68"/>
      <c r="AW1040" s="68"/>
      <c r="AX1040" s="68"/>
      <c r="AY1040" s="68"/>
    </row>
    <row r="1041" spans="1:57" ht="12.95" customHeight="1">
      <c r="A1041" s="14"/>
      <c r="B1041" s="73"/>
      <c r="C1041" s="339" t="s">
        <v>686</v>
      </c>
      <c r="D1041" s="1304" t="s">
        <v>1674</v>
      </c>
      <c r="E1041" s="1305"/>
      <c r="F1041" s="1305"/>
      <c r="G1041" s="1305"/>
      <c r="H1041" s="1305"/>
      <c r="I1041" s="1305"/>
      <c r="J1041" s="1305"/>
      <c r="K1041" s="1305"/>
      <c r="L1041" s="1305"/>
      <c r="M1041" s="1305"/>
      <c r="N1041" s="1305"/>
      <c r="O1041" s="1305"/>
      <c r="P1041" s="1305"/>
      <c r="Q1041" s="1305"/>
      <c r="R1041" s="1305"/>
      <c r="S1041" s="1305"/>
      <c r="T1041" s="1305"/>
      <c r="U1041" s="1305"/>
      <c r="V1041" s="1305"/>
      <c r="W1041" s="1305"/>
      <c r="X1041" s="1305"/>
      <c r="Y1041" s="1305"/>
      <c r="Z1041" s="1305"/>
      <c r="AA1041" s="1305"/>
      <c r="AB1041" s="1305"/>
      <c r="AC1041" s="1305"/>
      <c r="AD1041" s="1305"/>
      <c r="AE1041" s="1306"/>
      <c r="AF1041" s="79"/>
      <c r="AG1041" s="1307" t="s">
        <v>668</v>
      </c>
      <c r="AH1041" s="1308"/>
      <c r="AI1041" s="87"/>
      <c r="AJ1041" s="1348">
        <f>ROUND(IF(AG1041="yes",(AJ1001*0.15),0),0)</f>
        <v>0</v>
      </c>
      <c r="AK1041" s="1349"/>
      <c r="AL1041" s="1349"/>
      <c r="AM1041" s="1349"/>
      <c r="AN1041" s="1349"/>
      <c r="AO1041" s="1349"/>
      <c r="AP1041" s="1349"/>
      <c r="AQ1041" s="1350"/>
      <c r="AR1041" s="68"/>
      <c r="AS1041" s="68"/>
      <c r="AT1041" s="68"/>
      <c r="AU1041" s="68"/>
      <c r="AV1041" s="68"/>
      <c r="AW1041" s="68"/>
      <c r="AX1041" s="68"/>
      <c r="AY1041" s="68"/>
    </row>
    <row r="1042" spans="1:57" ht="12.95" customHeight="1">
      <c r="A1042" s="14"/>
      <c r="B1042" s="73"/>
      <c r="C1042" s="74"/>
      <c r="D1042" s="1527" t="s">
        <v>1675</v>
      </c>
      <c r="E1042" s="1320"/>
      <c r="F1042" s="1320"/>
      <c r="G1042" s="1320"/>
      <c r="H1042" s="1320"/>
      <c r="I1042" s="1320"/>
      <c r="J1042" s="1320"/>
      <c r="K1042" s="1320"/>
      <c r="L1042" s="1320"/>
      <c r="M1042" s="1320"/>
      <c r="N1042" s="1320"/>
      <c r="O1042" s="1320"/>
      <c r="P1042" s="1320"/>
      <c r="Q1042" s="1320"/>
      <c r="R1042" s="1320"/>
      <c r="S1042" s="1320"/>
      <c r="T1042" s="1320"/>
      <c r="U1042" s="1320"/>
      <c r="V1042" s="1320"/>
      <c r="W1042" s="1320"/>
      <c r="X1042" s="1320"/>
      <c r="Y1042" s="1320"/>
      <c r="Z1042" s="1320"/>
      <c r="AA1042" s="1320"/>
      <c r="AB1042" s="1320"/>
      <c r="AC1042" s="1320"/>
      <c r="AD1042" s="1320"/>
      <c r="AE1042" s="1528"/>
      <c r="AF1042" s="911"/>
      <c r="AG1042" s="912"/>
      <c r="AH1042" s="912"/>
      <c r="AI1042" s="913"/>
      <c r="AJ1042" s="1351"/>
      <c r="AK1042" s="1352"/>
      <c r="AL1042" s="1352"/>
      <c r="AM1042" s="1352"/>
      <c r="AN1042" s="1352"/>
      <c r="AO1042" s="1352"/>
      <c r="AP1042" s="1352"/>
      <c r="AQ1042" s="1353"/>
      <c r="AR1042" s="68"/>
      <c r="AS1042" s="68"/>
      <c r="AT1042" s="68"/>
      <c r="AU1042" s="68"/>
      <c r="AV1042" s="68"/>
      <c r="AW1042" s="68"/>
      <c r="AX1042" s="68"/>
      <c r="AY1042" s="68"/>
    </row>
    <row r="1043" spans="1:57" ht="12.95" customHeight="1">
      <c r="A1043" s="14"/>
      <c r="B1043" s="73"/>
      <c r="C1043" s="74"/>
      <c r="D1043" s="1527"/>
      <c r="E1043" s="1320"/>
      <c r="F1043" s="1320"/>
      <c r="G1043" s="1320"/>
      <c r="H1043" s="1320"/>
      <c r="I1043" s="1320"/>
      <c r="J1043" s="1320"/>
      <c r="K1043" s="1320"/>
      <c r="L1043" s="1320"/>
      <c r="M1043" s="1320"/>
      <c r="N1043" s="1320"/>
      <c r="O1043" s="1320"/>
      <c r="P1043" s="1320"/>
      <c r="Q1043" s="1320"/>
      <c r="R1043" s="1320"/>
      <c r="S1043" s="1320"/>
      <c r="T1043" s="1320"/>
      <c r="U1043" s="1320"/>
      <c r="V1043" s="1320"/>
      <c r="W1043" s="1320"/>
      <c r="X1043" s="1320"/>
      <c r="Y1043" s="1320"/>
      <c r="Z1043" s="1320"/>
      <c r="AA1043" s="1320"/>
      <c r="AB1043" s="1320"/>
      <c r="AC1043" s="1320"/>
      <c r="AD1043" s="1320"/>
      <c r="AE1043" s="1528"/>
      <c r="AF1043" s="911"/>
      <c r="AG1043" s="912"/>
      <c r="AH1043" s="912"/>
      <c r="AI1043" s="913"/>
      <c r="AJ1043" s="1351"/>
      <c r="AK1043" s="1352"/>
      <c r="AL1043" s="1352"/>
      <c r="AM1043" s="1352"/>
      <c r="AN1043" s="1352"/>
      <c r="AO1043" s="1352"/>
      <c r="AP1043" s="1352"/>
      <c r="AQ1043" s="1353"/>
      <c r="AR1043" s="68"/>
      <c r="AS1043" s="68"/>
      <c r="AT1043" s="68"/>
      <c r="AU1043" s="68"/>
      <c r="AV1043" s="68"/>
      <c r="AW1043" s="68"/>
      <c r="AX1043" s="68"/>
      <c r="AY1043" s="68"/>
    </row>
    <row r="1044" spans="1:57" ht="12.95" customHeight="1">
      <c r="A1044" s="14"/>
      <c r="B1044" s="73"/>
      <c r="C1044" s="74"/>
      <c r="D1044" s="1529"/>
      <c r="E1044" s="1530"/>
      <c r="F1044" s="1530"/>
      <c r="G1044" s="1530"/>
      <c r="H1044" s="1530"/>
      <c r="I1044" s="1530"/>
      <c r="J1044" s="1530"/>
      <c r="K1044" s="1530"/>
      <c r="L1044" s="1530"/>
      <c r="M1044" s="1530"/>
      <c r="N1044" s="1530"/>
      <c r="O1044" s="1530"/>
      <c r="P1044" s="1530"/>
      <c r="Q1044" s="1530"/>
      <c r="R1044" s="1530"/>
      <c r="S1044" s="1530"/>
      <c r="T1044" s="1530"/>
      <c r="U1044" s="1530"/>
      <c r="V1044" s="1530"/>
      <c r="W1044" s="1530"/>
      <c r="X1044" s="1530"/>
      <c r="Y1044" s="1530"/>
      <c r="Z1044" s="1530"/>
      <c r="AA1044" s="1530"/>
      <c r="AB1044" s="1530"/>
      <c r="AC1044" s="1530"/>
      <c r="AD1044" s="1530"/>
      <c r="AE1044" s="1531"/>
      <c r="AF1044" s="914"/>
      <c r="AG1044" s="915"/>
      <c r="AH1044" s="915"/>
      <c r="AI1044" s="916"/>
      <c r="AJ1044" s="1354"/>
      <c r="AK1044" s="1355"/>
      <c r="AL1044" s="1355"/>
      <c r="AM1044" s="1355"/>
      <c r="AN1044" s="1355"/>
      <c r="AO1044" s="1355"/>
      <c r="AP1044" s="1355"/>
      <c r="AQ1044" s="1356"/>
      <c r="AR1044" s="68"/>
      <c r="AS1044" s="68"/>
      <c r="AT1044" s="68"/>
      <c r="AU1044" s="68"/>
      <c r="AV1044" s="68"/>
      <c r="AW1044" s="68"/>
      <c r="AX1044" s="68"/>
      <c r="AY1044" s="68"/>
    </row>
    <row r="1045" spans="1:57" ht="12.95" customHeight="1">
      <c r="A1045" s="14"/>
      <c r="B1045" s="73"/>
      <c r="C1045" s="339" t="s">
        <v>686</v>
      </c>
      <c r="D1045" s="1496" t="s">
        <v>1676</v>
      </c>
      <c r="E1045" s="1497"/>
      <c r="F1045" s="1497"/>
      <c r="G1045" s="1497"/>
      <c r="H1045" s="1497"/>
      <c r="I1045" s="1497"/>
      <c r="J1045" s="1497"/>
      <c r="K1045" s="1497"/>
      <c r="L1045" s="1497"/>
      <c r="M1045" s="1497"/>
      <c r="N1045" s="1497"/>
      <c r="O1045" s="1497"/>
      <c r="P1045" s="1497"/>
      <c r="Q1045" s="1497"/>
      <c r="R1045" s="1497"/>
      <c r="S1045" s="1497"/>
      <c r="T1045" s="1497"/>
      <c r="U1045" s="1497"/>
      <c r="V1045" s="1497"/>
      <c r="W1045" s="1497"/>
      <c r="X1045" s="1497"/>
      <c r="Y1045" s="1497"/>
      <c r="Z1045" s="1497"/>
      <c r="AA1045" s="1497"/>
      <c r="AB1045" s="1497"/>
      <c r="AC1045" s="1497"/>
      <c r="AD1045" s="1497"/>
      <c r="AE1045" s="1498"/>
      <c r="AF1045" s="73"/>
      <c r="AG1045" s="1517" t="s">
        <v>668</v>
      </c>
      <c r="AH1045" s="1518"/>
      <c r="AI1045" s="83"/>
      <c r="AJ1045" s="1348">
        <f>ROUND(IF(AND(AG1045="yes",AJ1041=0),(AJ1001*0.1),0),0)</f>
        <v>0</v>
      </c>
      <c r="AK1045" s="1349"/>
      <c r="AL1045" s="1349"/>
      <c r="AM1045" s="1349"/>
      <c r="AN1045" s="1349"/>
      <c r="AO1045" s="1349"/>
      <c r="AP1045" s="1349"/>
      <c r="AQ1045" s="1350"/>
      <c r="AR1045" s="68"/>
      <c r="AS1045" s="68"/>
      <c r="AT1045" s="68"/>
      <c r="AU1045" s="68"/>
      <c r="AV1045" s="68"/>
      <c r="AW1045" s="68"/>
      <c r="AX1045" s="68"/>
      <c r="AY1045" s="68"/>
    </row>
    <row r="1046" spans="1:57" ht="12.95" customHeight="1">
      <c r="A1046" s="14"/>
      <c r="B1046" s="73"/>
      <c r="C1046" s="74"/>
      <c r="D1046" s="1527" t="s">
        <v>1677</v>
      </c>
      <c r="E1046" s="1320"/>
      <c r="F1046" s="1320"/>
      <c r="G1046" s="1320"/>
      <c r="H1046" s="1320"/>
      <c r="I1046" s="1320"/>
      <c r="J1046" s="1320"/>
      <c r="K1046" s="1320"/>
      <c r="L1046" s="1320"/>
      <c r="M1046" s="1320"/>
      <c r="N1046" s="1320"/>
      <c r="O1046" s="1320"/>
      <c r="P1046" s="1320"/>
      <c r="Q1046" s="1320"/>
      <c r="R1046" s="1320"/>
      <c r="S1046" s="1320"/>
      <c r="T1046" s="1320"/>
      <c r="U1046" s="1320"/>
      <c r="V1046" s="1320"/>
      <c r="W1046" s="1320"/>
      <c r="X1046" s="1320"/>
      <c r="Y1046" s="1320"/>
      <c r="Z1046" s="1320"/>
      <c r="AA1046" s="1320"/>
      <c r="AB1046" s="1320"/>
      <c r="AC1046" s="1320"/>
      <c r="AD1046" s="1320"/>
      <c r="AE1046" s="1528"/>
      <c r="AF1046" s="73"/>
      <c r="AG1046" s="14"/>
      <c r="AH1046" s="14"/>
      <c r="AI1046" s="83"/>
      <c r="AJ1046" s="1351"/>
      <c r="AK1046" s="1352"/>
      <c r="AL1046" s="1352"/>
      <c r="AM1046" s="1352"/>
      <c r="AN1046" s="1352"/>
      <c r="AO1046" s="1352"/>
      <c r="AP1046" s="1352"/>
      <c r="AQ1046" s="1353"/>
      <c r="AR1046" s="68"/>
      <c r="AS1046" s="68"/>
      <c r="AT1046" s="68"/>
      <c r="AU1046" s="68"/>
      <c r="AV1046" s="68"/>
      <c r="AW1046" s="68"/>
      <c r="AX1046" s="68"/>
      <c r="AY1046" s="68"/>
    </row>
    <row r="1047" spans="1:57" ht="12.95" customHeight="1">
      <c r="A1047" s="14"/>
      <c r="B1047" s="73"/>
      <c r="C1047" s="74"/>
      <c r="D1047" s="1527"/>
      <c r="E1047" s="1320"/>
      <c r="F1047" s="1320"/>
      <c r="G1047" s="1320"/>
      <c r="H1047" s="1320"/>
      <c r="I1047" s="1320"/>
      <c r="J1047" s="1320"/>
      <c r="K1047" s="1320"/>
      <c r="L1047" s="1320"/>
      <c r="M1047" s="1320"/>
      <c r="N1047" s="1320"/>
      <c r="O1047" s="1320"/>
      <c r="P1047" s="1320"/>
      <c r="Q1047" s="1320"/>
      <c r="R1047" s="1320"/>
      <c r="S1047" s="1320"/>
      <c r="T1047" s="1320"/>
      <c r="U1047" s="1320"/>
      <c r="V1047" s="1320"/>
      <c r="W1047" s="1320"/>
      <c r="X1047" s="1320"/>
      <c r="Y1047" s="1320"/>
      <c r="Z1047" s="1320"/>
      <c r="AA1047" s="1320"/>
      <c r="AB1047" s="1320"/>
      <c r="AC1047" s="1320"/>
      <c r="AD1047" s="1320"/>
      <c r="AE1047" s="1528"/>
      <c r="AF1047" s="73"/>
      <c r="AG1047" s="14"/>
      <c r="AH1047" s="14"/>
      <c r="AI1047" s="83"/>
      <c r="AJ1047" s="1351"/>
      <c r="AK1047" s="1352"/>
      <c r="AL1047" s="1352"/>
      <c r="AM1047" s="1352"/>
      <c r="AN1047" s="1352"/>
      <c r="AO1047" s="1352"/>
      <c r="AP1047" s="1352"/>
      <c r="AQ1047" s="1353"/>
      <c r="AR1047" s="68"/>
      <c r="AS1047" s="68"/>
      <c r="AT1047" s="68"/>
      <c r="AU1047" s="68"/>
      <c r="AV1047" s="68"/>
      <c r="AW1047" s="68"/>
      <c r="AX1047" s="68"/>
      <c r="AY1047" s="68"/>
      <c r="BA1047" s="1176">
        <f>IFERROR(('Sources and Uses Budget'!$C$17+'Sources and Uses Budget'!$C$18+'Sources and Uses Budget'!$C$22)/$AG$446,0)</f>
        <v>0</v>
      </c>
      <c r="BB1047" s="1176" t="s">
        <v>2411</v>
      </c>
      <c r="BC1047" s="1176"/>
      <c r="BD1047" s="1176"/>
      <c r="BE1047" s="1176"/>
    </row>
    <row r="1048" spans="1:57" ht="12.95" customHeight="1">
      <c r="A1048" s="14"/>
      <c r="B1048" s="73"/>
      <c r="C1048" s="74"/>
      <c r="D1048" s="1527"/>
      <c r="E1048" s="1320"/>
      <c r="F1048" s="1320"/>
      <c r="G1048" s="1320"/>
      <c r="H1048" s="1320"/>
      <c r="I1048" s="1320"/>
      <c r="J1048" s="1320"/>
      <c r="K1048" s="1320"/>
      <c r="L1048" s="1320"/>
      <c r="M1048" s="1320"/>
      <c r="N1048" s="1320"/>
      <c r="O1048" s="1320"/>
      <c r="P1048" s="1320"/>
      <c r="Q1048" s="1320"/>
      <c r="R1048" s="1320"/>
      <c r="S1048" s="1320"/>
      <c r="T1048" s="1320"/>
      <c r="U1048" s="1320"/>
      <c r="V1048" s="1320"/>
      <c r="W1048" s="1320"/>
      <c r="X1048" s="1320"/>
      <c r="Y1048" s="1320"/>
      <c r="Z1048" s="1320"/>
      <c r="AA1048" s="1320"/>
      <c r="AB1048" s="1320"/>
      <c r="AC1048" s="1320"/>
      <c r="AD1048" s="1320"/>
      <c r="AE1048" s="1528"/>
      <c r="AF1048" s="73"/>
      <c r="AG1048" s="14"/>
      <c r="AH1048" s="14"/>
      <c r="AI1048" s="83"/>
      <c r="AJ1048" s="1351"/>
      <c r="AK1048" s="1352"/>
      <c r="AL1048" s="1352"/>
      <c r="AM1048" s="1352"/>
      <c r="AN1048" s="1352"/>
      <c r="AO1048" s="1352"/>
      <c r="AP1048" s="1352"/>
      <c r="AQ1048" s="1353"/>
      <c r="AR1048" s="68"/>
      <c r="AS1048" s="68"/>
      <c r="AT1048" s="68"/>
      <c r="AU1048" s="68"/>
      <c r="AV1048" s="68"/>
      <c r="AW1048" s="68"/>
      <c r="AX1048" s="68"/>
      <c r="AY1048" s="68"/>
      <c r="BA1048">
        <f>IFERROR((($CI$761+$CM$761)/$AG$449),0)</f>
        <v>0.30541871921182268</v>
      </c>
      <c r="BB1048" s="3" t="s">
        <v>2415</v>
      </c>
    </row>
    <row r="1049" spans="1:57" ht="12.95" customHeight="1">
      <c r="A1049" s="14"/>
      <c r="B1049" s="73"/>
      <c r="C1049" s="74"/>
      <c r="D1049" s="1529"/>
      <c r="E1049" s="1530"/>
      <c r="F1049" s="1530"/>
      <c r="G1049" s="1530"/>
      <c r="H1049" s="1530"/>
      <c r="I1049" s="1530"/>
      <c r="J1049" s="1530"/>
      <c r="K1049" s="1530"/>
      <c r="L1049" s="1530"/>
      <c r="M1049" s="1530"/>
      <c r="N1049" s="1530"/>
      <c r="O1049" s="1530"/>
      <c r="P1049" s="1530"/>
      <c r="Q1049" s="1530"/>
      <c r="R1049" s="1530"/>
      <c r="S1049" s="1530"/>
      <c r="T1049" s="1530"/>
      <c r="U1049" s="1530"/>
      <c r="V1049" s="1530"/>
      <c r="W1049" s="1530"/>
      <c r="X1049" s="1530"/>
      <c r="Y1049" s="1530"/>
      <c r="Z1049" s="1530"/>
      <c r="AA1049" s="1530"/>
      <c r="AB1049" s="1530"/>
      <c r="AC1049" s="1530"/>
      <c r="AD1049" s="1530"/>
      <c r="AE1049" s="1531"/>
      <c r="AF1049" s="73"/>
      <c r="AG1049" s="14"/>
      <c r="AH1049" s="14"/>
      <c r="AI1049" s="83"/>
      <c r="AJ1049" s="1351"/>
      <c r="AK1049" s="1352"/>
      <c r="AL1049" s="1352"/>
      <c r="AM1049" s="1352"/>
      <c r="AN1049" s="1352"/>
      <c r="AO1049" s="1352"/>
      <c r="AP1049" s="1352"/>
      <c r="AQ1049" s="1353"/>
      <c r="AR1049" s="68"/>
      <c r="AS1049" s="68"/>
      <c r="AT1049" s="68"/>
      <c r="AU1049" s="68"/>
      <c r="AV1049" s="68"/>
      <c r="AW1049" s="68"/>
      <c r="AX1049" s="68"/>
      <c r="AY1049" s="68"/>
      <c r="BA1049" t="b">
        <f>'Points System'!AJ163="Yes"</f>
        <v>0</v>
      </c>
      <c r="BB1049" s="3" t="s">
        <v>2412</v>
      </c>
    </row>
    <row r="1050" spans="1:57" ht="12.95" customHeight="1">
      <c r="A1050" s="14"/>
      <c r="B1050" s="79"/>
      <c r="C1050" s="131" t="s">
        <v>1009</v>
      </c>
      <c r="D1050" s="1304" t="s">
        <v>1295</v>
      </c>
      <c r="E1050" s="1305"/>
      <c r="F1050" s="1305"/>
      <c r="G1050" s="1305"/>
      <c r="H1050" s="1305"/>
      <c r="I1050" s="1305"/>
      <c r="J1050" s="1305"/>
      <c r="K1050" s="1305"/>
      <c r="L1050" s="1305"/>
      <c r="M1050" s="1305"/>
      <c r="N1050" s="1305"/>
      <c r="O1050" s="1305"/>
      <c r="P1050" s="1305"/>
      <c r="Q1050" s="1305"/>
      <c r="R1050" s="1305"/>
      <c r="S1050" s="1305"/>
      <c r="T1050" s="1305"/>
      <c r="U1050" s="1305"/>
      <c r="V1050" s="1305"/>
      <c r="W1050" s="1305"/>
      <c r="X1050" s="1305"/>
      <c r="Y1050" s="1305"/>
      <c r="Z1050" s="1305"/>
      <c r="AA1050" s="1305"/>
      <c r="AB1050" s="1305"/>
      <c r="AC1050" s="1305"/>
      <c r="AD1050" s="1305"/>
      <c r="AE1050" s="1306"/>
      <c r="AF1050" s="79"/>
      <c r="AG1050" s="1307" t="s">
        <v>668</v>
      </c>
      <c r="AH1050" s="1308"/>
      <c r="AI1050" s="87"/>
      <c r="AJ1050" s="1348">
        <f>ROUND(IF(AG1050="yes",(AJ1001*0.1),0),0)</f>
        <v>0</v>
      </c>
      <c r="AK1050" s="1349"/>
      <c r="AL1050" s="1349"/>
      <c r="AM1050" s="1349"/>
      <c r="AN1050" s="1349"/>
      <c r="AO1050" s="1349"/>
      <c r="AP1050" s="1349"/>
      <c r="AQ1050" s="1350"/>
      <c r="AR1050" s="68"/>
      <c r="AS1050" s="68"/>
      <c r="AT1050" s="68"/>
      <c r="AU1050" s="68"/>
      <c r="AV1050" s="68"/>
      <c r="AW1050" s="68"/>
      <c r="AX1050" s="68"/>
      <c r="AY1050" s="68"/>
      <c r="BA1050">
        <f>Q212</f>
        <v>0</v>
      </c>
      <c r="BB1050" s="3" t="s">
        <v>2413</v>
      </c>
    </row>
    <row r="1051" spans="1:57" ht="12.95" customHeight="1">
      <c r="A1051" s="14"/>
      <c r="B1051" s="73"/>
      <c r="C1051" s="74"/>
      <c r="D1051" s="1275" t="s">
        <v>2097</v>
      </c>
      <c r="E1051" s="1276"/>
      <c r="F1051" s="1276"/>
      <c r="G1051" s="1276"/>
      <c r="H1051" s="1276"/>
      <c r="I1051" s="1276"/>
      <c r="J1051" s="1276"/>
      <c r="K1051" s="1276"/>
      <c r="L1051" s="1276"/>
      <c r="M1051" s="1276"/>
      <c r="N1051" s="1276"/>
      <c r="O1051" s="1276"/>
      <c r="P1051" s="1276"/>
      <c r="Q1051" s="1276"/>
      <c r="R1051" s="1276"/>
      <c r="S1051" s="1276"/>
      <c r="T1051" s="1276"/>
      <c r="U1051" s="1276"/>
      <c r="V1051" s="1276"/>
      <c r="W1051" s="1276"/>
      <c r="X1051" s="1276"/>
      <c r="Y1051" s="1276"/>
      <c r="Z1051" s="1276"/>
      <c r="AA1051" s="1276"/>
      <c r="AB1051" s="1276"/>
      <c r="AC1051" s="1276"/>
      <c r="AD1051" s="1276"/>
      <c r="AE1051" s="1277"/>
      <c r="AF1051" s="73"/>
      <c r="AG1051" s="14"/>
      <c r="AH1051" s="14"/>
      <c r="AI1051" s="83"/>
      <c r="AJ1051" s="1351"/>
      <c r="AK1051" s="1352"/>
      <c r="AL1051" s="1352"/>
      <c r="AM1051" s="1352"/>
      <c r="AN1051" s="1352"/>
      <c r="AO1051" s="1352"/>
      <c r="AP1051" s="1352"/>
      <c r="AQ1051" s="1353"/>
      <c r="AR1051" s="68"/>
      <c r="AS1051" s="68"/>
      <c r="AT1051" s="68"/>
      <c r="AU1051" s="68"/>
      <c r="AV1051" s="68"/>
      <c r="AW1051" s="68"/>
      <c r="AX1051" s="68"/>
      <c r="AY1051" s="68"/>
      <c r="BA1051" s="1177">
        <f>T212</f>
        <v>0</v>
      </c>
      <c r="BB1051" s="3" t="s">
        <v>2414</v>
      </c>
    </row>
    <row r="1052" spans="1:57" ht="12.95" customHeight="1">
      <c r="A1052" s="14"/>
      <c r="B1052" s="73"/>
      <c r="C1052" s="74"/>
      <c r="D1052" s="1275"/>
      <c r="E1052" s="1276"/>
      <c r="F1052" s="1276"/>
      <c r="G1052" s="1276"/>
      <c r="H1052" s="1276"/>
      <c r="I1052" s="1276"/>
      <c r="J1052" s="1276"/>
      <c r="K1052" s="1276"/>
      <c r="L1052" s="1276"/>
      <c r="M1052" s="1276"/>
      <c r="N1052" s="1276"/>
      <c r="O1052" s="1276"/>
      <c r="P1052" s="1276"/>
      <c r="Q1052" s="1276"/>
      <c r="R1052" s="1276"/>
      <c r="S1052" s="1276"/>
      <c r="T1052" s="1276"/>
      <c r="U1052" s="1276"/>
      <c r="V1052" s="1276"/>
      <c r="W1052" s="1276"/>
      <c r="X1052" s="1276"/>
      <c r="Y1052" s="1276"/>
      <c r="Z1052" s="1276"/>
      <c r="AA1052" s="1276"/>
      <c r="AB1052" s="1276"/>
      <c r="AC1052" s="1276"/>
      <c r="AD1052" s="1276"/>
      <c r="AE1052" s="1277"/>
      <c r="AF1052" s="73"/>
      <c r="AG1052" s="14"/>
      <c r="AH1052" s="14"/>
      <c r="AI1052" s="83"/>
      <c r="AJ1052" s="1351"/>
      <c r="AK1052" s="1352"/>
      <c r="AL1052" s="1352"/>
      <c r="AM1052" s="1352"/>
      <c r="AN1052" s="1352"/>
      <c r="AO1052" s="1352"/>
      <c r="AP1052" s="1352"/>
      <c r="AQ1052" s="1353"/>
      <c r="AR1052" s="68"/>
      <c r="AS1052" s="68"/>
      <c r="AT1052" s="68"/>
      <c r="AU1052" s="68"/>
      <c r="AV1052" s="68"/>
      <c r="AW1052" s="68"/>
      <c r="AX1052" s="68"/>
      <c r="AY1052" s="68"/>
    </row>
    <row r="1053" spans="1:57" ht="12.95" customHeight="1">
      <c r="A1053" s="14"/>
      <c r="B1053" s="73"/>
      <c r="C1053" s="74"/>
      <c r="D1053" s="1357"/>
      <c r="E1053" s="1358"/>
      <c r="F1053" s="1358"/>
      <c r="G1053" s="1358"/>
      <c r="H1053" s="1358"/>
      <c r="I1053" s="1358"/>
      <c r="J1053" s="1358"/>
      <c r="K1053" s="1358"/>
      <c r="L1053" s="1358"/>
      <c r="M1053" s="1358"/>
      <c r="N1053" s="1358"/>
      <c r="O1053" s="1358"/>
      <c r="P1053" s="1358"/>
      <c r="Q1053" s="1358"/>
      <c r="R1053" s="1358"/>
      <c r="S1053" s="1358"/>
      <c r="T1053" s="1358"/>
      <c r="U1053" s="1358"/>
      <c r="V1053" s="1358"/>
      <c r="W1053" s="1358"/>
      <c r="X1053" s="1358"/>
      <c r="Y1053" s="1358"/>
      <c r="Z1053" s="1358"/>
      <c r="AA1053" s="1358"/>
      <c r="AB1053" s="1358"/>
      <c r="AC1053" s="1358"/>
      <c r="AD1053" s="1358"/>
      <c r="AE1053" s="1359"/>
      <c r="AF1053" s="73"/>
      <c r="AG1053" s="14"/>
      <c r="AH1053" s="14"/>
      <c r="AI1053" s="83"/>
      <c r="AJ1053" s="1354"/>
      <c r="AK1053" s="1355"/>
      <c r="AL1053" s="1355"/>
      <c r="AM1053" s="1355"/>
      <c r="AN1053" s="1355"/>
      <c r="AO1053" s="1355"/>
      <c r="AP1053" s="1355"/>
      <c r="AQ1053" s="1356"/>
      <c r="AR1053" s="68"/>
      <c r="AS1053" s="68"/>
      <c r="AT1053" s="68"/>
      <c r="AU1053" s="68"/>
      <c r="AV1053" s="68"/>
      <c r="AW1053" s="68"/>
      <c r="AX1053" s="68"/>
      <c r="AY1053" s="68"/>
    </row>
    <row r="1054" spans="1:57" ht="12.95" customHeight="1">
      <c r="A1054" s="14"/>
      <c r="B1054" s="79"/>
      <c r="C1054" s="131" t="s">
        <v>1672</v>
      </c>
      <c r="D1054" s="1496" t="s">
        <v>1837</v>
      </c>
      <c r="E1054" s="1497"/>
      <c r="F1054" s="1497"/>
      <c r="G1054" s="1497"/>
      <c r="H1054" s="1497"/>
      <c r="I1054" s="1497"/>
      <c r="J1054" s="1497"/>
      <c r="K1054" s="1497"/>
      <c r="L1054" s="1497"/>
      <c r="M1054" s="1497"/>
      <c r="N1054" s="1497"/>
      <c r="O1054" s="1497"/>
      <c r="P1054" s="1497"/>
      <c r="Q1054" s="1497"/>
      <c r="R1054" s="1497"/>
      <c r="S1054" s="1497"/>
      <c r="T1054" s="1497"/>
      <c r="U1054" s="1497"/>
      <c r="V1054" s="1497"/>
      <c r="W1054" s="1497"/>
      <c r="X1054" s="1497"/>
      <c r="Y1054" s="1497"/>
      <c r="Z1054" s="1497"/>
      <c r="AA1054" s="1497"/>
      <c r="AB1054" s="1497"/>
      <c r="AC1054" s="1497"/>
      <c r="AD1054" s="1497"/>
      <c r="AE1054" s="1498"/>
      <c r="AF1054" s="79"/>
      <c r="AG1054" s="1302" t="str">
        <f>IF(X1057&gt;0,"Yes","No")</f>
        <v>Yes</v>
      </c>
      <c r="AH1054" s="1303"/>
      <c r="AI1054" s="87"/>
      <c r="AJ1054" s="1348">
        <f>IF((X1057=0),0,AY1014*AJ1001)</f>
        <v>23179082.600000001</v>
      </c>
      <c r="AK1054" s="1349"/>
      <c r="AL1054" s="1349"/>
      <c r="AM1054" s="1349"/>
      <c r="AN1054" s="1349"/>
      <c r="AO1054" s="1349"/>
      <c r="AP1054" s="1349"/>
      <c r="AQ1054" s="1350"/>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2400</v>
      </c>
      <c r="BB1054" s="3"/>
      <c r="BC1054" s="3"/>
      <c r="BD1054" s="3"/>
    </row>
    <row r="1055" spans="1:57" ht="12.95" customHeight="1">
      <c r="A1055" s="14"/>
      <c r="B1055" s="73"/>
      <c r="C1055" s="442"/>
      <c r="D1055" s="1275" t="s">
        <v>1297</v>
      </c>
      <c r="E1055" s="1276"/>
      <c r="F1055" s="1276"/>
      <c r="G1055" s="1276"/>
      <c r="H1055" s="1276"/>
      <c r="I1055" s="1276"/>
      <c r="J1055" s="1276"/>
      <c r="K1055" s="1276"/>
      <c r="L1055" s="1276"/>
      <c r="M1055" s="1276"/>
      <c r="N1055" s="1276"/>
      <c r="O1055" s="1276"/>
      <c r="P1055" s="1276"/>
      <c r="Q1055" s="1276"/>
      <c r="R1055" s="1276"/>
      <c r="S1055" s="1276"/>
      <c r="T1055" s="1276"/>
      <c r="U1055" s="1276"/>
      <c r="V1055" s="1276"/>
      <c r="W1055" s="1276"/>
      <c r="X1055" s="1276"/>
      <c r="Y1055" s="1276"/>
      <c r="Z1055" s="1276"/>
      <c r="AA1055" s="1276"/>
      <c r="AB1055" s="1276"/>
      <c r="AC1055" s="1276"/>
      <c r="AD1055" s="1276"/>
      <c r="AE1055" s="1277"/>
      <c r="AF1055" s="73"/>
      <c r="AG1055" s="443"/>
      <c r="AH1055" s="443"/>
      <c r="AI1055" s="83"/>
      <c r="AJ1055" s="1351"/>
      <c r="AK1055" s="1352"/>
      <c r="AL1055" s="1352"/>
      <c r="AM1055" s="1352"/>
      <c r="AN1055" s="1352"/>
      <c r="AO1055" s="1352"/>
      <c r="AP1055" s="1352"/>
      <c r="AQ1055" s="1353"/>
      <c r="AR1055" s="68"/>
      <c r="AS1055" s="68"/>
      <c r="AT1055" s="68"/>
      <c r="AU1055" s="13"/>
      <c r="AV1055" s="68"/>
      <c r="AW1055" s="68"/>
      <c r="AX1055" s="68"/>
      <c r="AY1055" s="68"/>
      <c r="AZ1055" s="958">
        <f>'Sources and Uses Budget'!S97*BA1055</f>
        <v>6823379.25</v>
      </c>
      <c r="BA1055" s="1175">
        <f>IF(BA1049,20%,15%)</f>
        <v>0.15</v>
      </c>
      <c r="BB1055" s="3" t="s">
        <v>2401</v>
      </c>
      <c r="BC1055" s="3" t="s">
        <v>2402</v>
      </c>
      <c r="BD1055" s="3"/>
    </row>
    <row r="1056" spans="1:57" ht="12.95" customHeight="1">
      <c r="A1056" s="14"/>
      <c r="B1056" s="73"/>
      <c r="C1056" s="442"/>
      <c r="D1056" s="1275"/>
      <c r="E1056" s="1276"/>
      <c r="F1056" s="1276"/>
      <c r="G1056" s="1276"/>
      <c r="H1056" s="1276"/>
      <c r="I1056" s="1276"/>
      <c r="J1056" s="1276"/>
      <c r="K1056" s="1276"/>
      <c r="L1056" s="1276"/>
      <c r="M1056" s="1276"/>
      <c r="N1056" s="1276"/>
      <c r="O1056" s="1276"/>
      <c r="P1056" s="1276"/>
      <c r="Q1056" s="1276"/>
      <c r="R1056" s="1276"/>
      <c r="S1056" s="1276"/>
      <c r="T1056" s="1276"/>
      <c r="U1056" s="1276"/>
      <c r="V1056" s="1276"/>
      <c r="W1056" s="1276"/>
      <c r="X1056" s="1276"/>
      <c r="Y1056" s="1276"/>
      <c r="Z1056" s="1276"/>
      <c r="AA1056" s="1276"/>
      <c r="AB1056" s="1276"/>
      <c r="AC1056" s="1276"/>
      <c r="AD1056" s="1276"/>
      <c r="AE1056" s="1277"/>
      <c r="AF1056" s="73"/>
      <c r="AG1056" s="443"/>
      <c r="AH1056" s="443"/>
      <c r="AI1056" s="83"/>
      <c r="AJ1056" s="1351"/>
      <c r="AK1056" s="1352"/>
      <c r="AL1056" s="1352"/>
      <c r="AM1056" s="1352"/>
      <c r="AN1056" s="1352"/>
      <c r="AO1056" s="1352"/>
      <c r="AP1056" s="1352"/>
      <c r="AQ1056" s="1353"/>
      <c r="AR1056" s="68"/>
      <c r="AS1056" s="68"/>
      <c r="AT1056" s="68"/>
      <c r="AU1056" s="13"/>
      <c r="AV1056" s="68"/>
      <c r="AW1056" s="68"/>
      <c r="AX1056" s="68"/>
      <c r="AY1056" s="68"/>
      <c r="AZ1056" s="958">
        <f>IF(M365="N/A",0,'Sources and Uses Budget'!T97*BA1056)</f>
        <v>0</v>
      </c>
      <c r="BA1056" s="1175">
        <v>0.15</v>
      </c>
      <c r="BB1056" s="3" t="s">
        <v>2401</v>
      </c>
      <c r="BC1056" s="3" t="s">
        <v>2403</v>
      </c>
      <c r="BD1056" s="3"/>
    </row>
    <row r="1057" spans="1:56" ht="12.95" customHeight="1">
      <c r="A1057" s="14"/>
      <c r="B1057" s="77"/>
      <c r="C1057" s="78"/>
      <c r="D1057" s="132" t="s">
        <v>971</v>
      </c>
      <c r="E1057" s="133"/>
      <c r="F1057" s="133"/>
      <c r="G1057" s="133"/>
      <c r="H1057" s="133"/>
      <c r="I1057" s="1364">
        <f>AY1012</f>
        <v>203</v>
      </c>
      <c r="J1057" s="1365"/>
      <c r="K1057" s="7"/>
      <c r="L1057" s="133"/>
      <c r="M1057" s="133"/>
      <c r="N1057" s="133"/>
      <c r="O1057" s="133"/>
      <c r="P1057" s="133"/>
      <c r="Q1057" s="133"/>
      <c r="R1057" s="133"/>
      <c r="S1057" s="133"/>
      <c r="T1057" s="133"/>
      <c r="U1057" s="133"/>
      <c r="V1057" s="134" t="s">
        <v>972</v>
      </c>
      <c r="W1057" s="48"/>
      <c r="X1057" s="1279">
        <f>CI761</f>
        <v>41</v>
      </c>
      <c r="Y1057" s="1280"/>
      <c r="Z1057" s="48"/>
      <c r="AA1057" s="48"/>
      <c r="AB1057" s="48"/>
      <c r="AC1057" s="48"/>
      <c r="AD1057" s="48"/>
      <c r="AE1057" s="49"/>
      <c r="AF1057" s="920"/>
      <c r="AG1057" s="921"/>
      <c r="AH1057" s="921"/>
      <c r="AI1057" s="922"/>
      <c r="AJ1057" s="1354"/>
      <c r="AK1057" s="1355"/>
      <c r="AL1057" s="1355"/>
      <c r="AM1057" s="1355"/>
      <c r="AN1057" s="1355"/>
      <c r="AO1057" s="1355"/>
      <c r="AP1057" s="1355"/>
      <c r="AQ1057" s="1356"/>
      <c r="AR1057" s="68"/>
      <c r="AS1057" s="68"/>
      <c r="AT1057" s="68"/>
      <c r="AU1057" s="14"/>
      <c r="AV1057" s="68"/>
      <c r="AW1057" s="68"/>
      <c r="AX1057" s="68"/>
      <c r="AY1057" s="68"/>
      <c r="AZ1057" s="958">
        <f>IF(M367="N/A",0,'Sources and Uses Budget'!T97*BA1057)</f>
        <v>0</v>
      </c>
      <c r="BA1057" s="1175" cm="1">
        <f t="array" ref="BA1057">_xlfn.IFS(X180="Yes",5%,$BA$1047&gt;50000,15%,BA1048&gt;=30%,15%,TRUE,5%)</f>
        <v>0.15</v>
      </c>
      <c r="BB1057" s="3" t="s">
        <v>2401</v>
      </c>
      <c r="BC1057" s="3" t="s">
        <v>2404</v>
      </c>
      <c r="BD1057" s="3"/>
    </row>
    <row r="1058" spans="1:56" ht="12.95" customHeight="1">
      <c r="A1058" s="14"/>
      <c r="B1058" s="79"/>
      <c r="C1058" s="131" t="s">
        <v>1673</v>
      </c>
      <c r="D1058" s="1304" t="s">
        <v>2123</v>
      </c>
      <c r="E1058" s="1305"/>
      <c r="F1058" s="1305"/>
      <c r="G1058" s="1305"/>
      <c r="H1058" s="1305"/>
      <c r="I1058" s="1305"/>
      <c r="J1058" s="1305"/>
      <c r="K1058" s="1305"/>
      <c r="L1058" s="1305"/>
      <c r="M1058" s="1305"/>
      <c r="N1058" s="1305"/>
      <c r="O1058" s="1305"/>
      <c r="P1058" s="1305"/>
      <c r="Q1058" s="1305"/>
      <c r="R1058" s="1305"/>
      <c r="S1058" s="1305"/>
      <c r="T1058" s="1305"/>
      <c r="U1058" s="1305"/>
      <c r="V1058" s="1305"/>
      <c r="W1058" s="1305"/>
      <c r="X1058" s="1305"/>
      <c r="Y1058" s="1305"/>
      <c r="Z1058" s="1305"/>
      <c r="AA1058" s="1305"/>
      <c r="AB1058" s="1305"/>
      <c r="AC1058" s="1305"/>
      <c r="AD1058" s="1305"/>
      <c r="AE1058" s="1306"/>
      <c r="AF1058" s="73"/>
      <c r="AG1058" s="1302" t="str">
        <f>IF(X1061&gt;0,"Yes","No")</f>
        <v>Yes</v>
      </c>
      <c r="AH1058" s="1303"/>
      <c r="AI1058" s="83"/>
      <c r="AJ1058" s="1348">
        <f>IF((X1061=0),0,(2*AY1015)*AJ1001)</f>
        <v>23179082.600000001</v>
      </c>
      <c r="AK1058" s="1349"/>
      <c r="AL1058" s="1349"/>
      <c r="AM1058" s="1349"/>
      <c r="AN1058" s="1349"/>
      <c r="AO1058" s="1349"/>
      <c r="AP1058" s="1349"/>
      <c r="AQ1058" s="1350"/>
      <c r="AR1058" s="68"/>
      <c r="AS1058" s="68"/>
      <c r="AT1058" s="68"/>
      <c r="AU1058" s="14"/>
      <c r="AV1058" s="68"/>
      <c r="AW1058" s="68"/>
      <c r="AX1058" s="68"/>
      <c r="AY1058" s="68"/>
      <c r="AZ1058" s="958">
        <f>AZ1054*BA1058</f>
        <v>0</v>
      </c>
      <c r="BA1058" s="1175">
        <v>0.15</v>
      </c>
      <c r="BB1058" s="3" t="s">
        <v>2401</v>
      </c>
      <c r="BC1058" s="3" t="s">
        <v>2405</v>
      </c>
      <c r="BD1058" s="3"/>
    </row>
    <row r="1059" spans="1:56" ht="12.95" customHeight="1">
      <c r="A1059" s="14"/>
      <c r="B1059" s="73"/>
      <c r="C1059" s="442"/>
      <c r="D1059" s="1275" t="s">
        <v>1296</v>
      </c>
      <c r="E1059" s="1276"/>
      <c r="F1059" s="1276"/>
      <c r="G1059" s="1276"/>
      <c r="H1059" s="1276"/>
      <c r="I1059" s="1276"/>
      <c r="J1059" s="1276"/>
      <c r="K1059" s="1276"/>
      <c r="L1059" s="1276"/>
      <c r="M1059" s="1276"/>
      <c r="N1059" s="1276"/>
      <c r="O1059" s="1276"/>
      <c r="P1059" s="1276"/>
      <c r="Q1059" s="1276"/>
      <c r="R1059" s="1276"/>
      <c r="S1059" s="1276"/>
      <c r="T1059" s="1276"/>
      <c r="U1059" s="1276"/>
      <c r="V1059" s="1276"/>
      <c r="W1059" s="1276"/>
      <c r="X1059" s="1276"/>
      <c r="Y1059" s="1276"/>
      <c r="Z1059" s="1276"/>
      <c r="AA1059" s="1276"/>
      <c r="AB1059" s="1276"/>
      <c r="AC1059" s="1276"/>
      <c r="AD1059" s="1276"/>
      <c r="AE1059" s="1277"/>
      <c r="AF1059" s="73"/>
      <c r="AG1059" s="443"/>
      <c r="AH1059" s="443"/>
      <c r="AI1059" s="83"/>
      <c r="AJ1059" s="1351"/>
      <c r="AK1059" s="1352"/>
      <c r="AL1059" s="1352"/>
      <c r="AM1059" s="1352"/>
      <c r="AN1059" s="1352"/>
      <c r="AO1059" s="1352"/>
      <c r="AP1059" s="1352"/>
      <c r="AQ1059" s="1353"/>
      <c r="AR1059" s="68"/>
      <c r="AS1059" s="68"/>
      <c r="AT1059" s="68"/>
      <c r="AU1059" s="68"/>
      <c r="AV1059" s="68"/>
      <c r="AW1059" s="68"/>
      <c r="AX1059" s="68"/>
      <c r="AY1059" s="68"/>
      <c r="AZ1059" s="958"/>
      <c r="BA1059" s="3"/>
      <c r="BB1059" s="3"/>
      <c r="BC1059" s="3"/>
      <c r="BD1059" s="3"/>
    </row>
    <row r="1060" spans="1:56" ht="12.95" customHeight="1">
      <c r="A1060" s="14"/>
      <c r="B1060" s="73"/>
      <c r="C1060" s="83"/>
      <c r="D1060" s="1275"/>
      <c r="E1060" s="1276"/>
      <c r="F1060" s="1276"/>
      <c r="G1060" s="1276"/>
      <c r="H1060" s="1276"/>
      <c r="I1060" s="1276"/>
      <c r="J1060" s="1276"/>
      <c r="K1060" s="1276"/>
      <c r="L1060" s="1276"/>
      <c r="M1060" s="1276"/>
      <c r="N1060" s="1276"/>
      <c r="O1060" s="1276"/>
      <c r="P1060" s="1276"/>
      <c r="Q1060" s="1276"/>
      <c r="R1060" s="1276"/>
      <c r="S1060" s="1276"/>
      <c r="T1060" s="1276"/>
      <c r="U1060" s="1276"/>
      <c r="V1060" s="1276"/>
      <c r="W1060" s="1276"/>
      <c r="X1060" s="1276"/>
      <c r="Y1060" s="1276"/>
      <c r="Z1060" s="1276"/>
      <c r="AA1060" s="1276"/>
      <c r="AB1060" s="1276"/>
      <c r="AC1060" s="1276"/>
      <c r="AD1060" s="1276"/>
      <c r="AE1060" s="1277"/>
      <c r="AF1060" s="917"/>
      <c r="AG1060" s="918"/>
      <c r="AH1060" s="918"/>
      <c r="AI1060" s="919"/>
      <c r="AJ1060" s="1351"/>
      <c r="AK1060" s="1352"/>
      <c r="AL1060" s="1352"/>
      <c r="AM1060" s="1352"/>
      <c r="AN1060" s="1352"/>
      <c r="AO1060" s="1352"/>
      <c r="AP1060" s="1352"/>
      <c r="AQ1060" s="1353"/>
      <c r="AR1060" s="68"/>
      <c r="AS1060" s="68"/>
      <c r="AT1060" s="68"/>
      <c r="AU1060" s="68"/>
      <c r="AV1060" s="68"/>
      <c r="AW1060" s="68"/>
      <c r="AX1060" s="68"/>
      <c r="AY1060" s="68"/>
      <c r="AZ1060" s="958">
        <f>ROUNDDOWN(MIN(SUM(AZ1055,AZ1056,AZ1057,AZ1058),BD1060),0)</f>
        <v>2500000</v>
      </c>
      <c r="BA1060" s="3" t="s">
        <v>2406</v>
      </c>
      <c r="BB1060" s="3"/>
      <c r="BC1060" s="3"/>
      <c r="BD1060" s="3" cm="1">
        <f t="array" ref="BD1060">_xlfn.IFS(BA1049,3000000,AND(BA1050&gt;=25%,BA1051&gt;=15),2800000,TRUE,2500000)</f>
        <v>2500000</v>
      </c>
    </row>
    <row r="1061" spans="1:56" ht="12.95" customHeight="1">
      <c r="A1061" s="14"/>
      <c r="B1061" s="77"/>
      <c r="C1061" s="78"/>
      <c r="D1061" s="132" t="s">
        <v>971</v>
      </c>
      <c r="E1061" s="133"/>
      <c r="F1061" s="133"/>
      <c r="G1061" s="133"/>
      <c r="H1061" s="133"/>
      <c r="I1061" s="1364">
        <f>AY1012</f>
        <v>203</v>
      </c>
      <c r="J1061" s="1365"/>
      <c r="K1061" s="14"/>
      <c r="L1061" s="133"/>
      <c r="M1061" s="133"/>
      <c r="N1061" s="133"/>
      <c r="O1061" s="133"/>
      <c r="P1061" s="133"/>
      <c r="Q1061" s="133"/>
      <c r="R1061" s="133"/>
      <c r="S1061" s="133"/>
      <c r="T1061" s="133"/>
      <c r="U1061" s="133"/>
      <c r="V1061" s="134" t="s">
        <v>973</v>
      </c>
      <c r="X1061" s="1279">
        <f>CM761</f>
        <v>21</v>
      </c>
      <c r="Y1061" s="1280"/>
      <c r="AF1061" s="920"/>
      <c r="AG1061" s="921"/>
      <c r="AH1061" s="921"/>
      <c r="AI1061" s="922"/>
      <c r="AJ1061" s="1354"/>
      <c r="AK1061" s="1355"/>
      <c r="AL1061" s="1355"/>
      <c r="AM1061" s="1355"/>
      <c r="AN1061" s="1355"/>
      <c r="AO1061" s="1355"/>
      <c r="AP1061" s="1355"/>
      <c r="AQ1061" s="1356"/>
      <c r="AR1061" s="68"/>
      <c r="AS1061" s="68"/>
      <c r="AT1061" s="68"/>
      <c r="AU1061" s="68"/>
      <c r="AV1061" s="68"/>
      <c r="AW1061" s="68"/>
      <c r="AX1061" s="68"/>
      <c r="AY1061" s="68"/>
      <c r="AZ1061" s="958">
        <f>ROUNDDOWN(MAX(0,BA1061*(SUM(AG1102,AL1102,AZ1054)-BD1061))+BF1061,0)</f>
        <v>0</v>
      </c>
      <c r="BA1061" s="1175">
        <f>IF(L1051,7%,5%)</f>
        <v>0.05</v>
      </c>
      <c r="BB1061" s="3" t="s">
        <v>2407</v>
      </c>
      <c r="BC1061" s="3"/>
      <c r="BD1061" s="3">
        <v>6666667</v>
      </c>
    </row>
    <row r="1062" spans="1:56" ht="12.95" customHeight="1">
      <c r="A1062" s="14"/>
      <c r="B1062" s="102"/>
      <c r="C1062" s="103"/>
      <c r="D1062" s="1309" t="s">
        <v>512</v>
      </c>
      <c r="E1062" s="1309"/>
      <c r="F1062" s="1309"/>
      <c r="G1062" s="1309"/>
      <c r="H1062" s="1309"/>
      <c r="I1062" s="1309"/>
      <c r="J1062" s="1309"/>
      <c r="K1062" s="1309"/>
      <c r="L1062" s="1309"/>
      <c r="M1062" s="1309"/>
      <c r="N1062" s="1309"/>
      <c r="O1062" s="1309"/>
      <c r="P1062" s="1309"/>
      <c r="Q1062" s="1309"/>
      <c r="R1062" s="1309"/>
      <c r="S1062" s="1309"/>
      <c r="T1062" s="1309"/>
      <c r="U1062" s="1309"/>
      <c r="V1062" s="1309"/>
      <c r="W1062" s="1309"/>
      <c r="X1062" s="1309"/>
      <c r="Y1062" s="1309"/>
      <c r="Z1062" s="1309"/>
      <c r="AA1062" s="1309"/>
      <c r="AB1062" s="1309"/>
      <c r="AC1062" s="1309"/>
      <c r="AD1062" s="1309"/>
      <c r="AE1062" s="1309"/>
      <c r="AF1062" s="1309"/>
      <c r="AG1062" s="1309"/>
      <c r="AH1062" s="1309"/>
      <c r="AI1062" s="1310"/>
      <c r="AJ1062" s="1514">
        <f>SUM(AJ1001:AQ1061)</f>
        <v>162253578.19999999</v>
      </c>
      <c r="AK1062" s="1515"/>
      <c r="AL1062" s="1515"/>
      <c r="AM1062" s="1515"/>
      <c r="AN1062" s="1515"/>
      <c r="AO1062" s="1515"/>
      <c r="AP1062" s="1515"/>
      <c r="AQ1062" s="1516"/>
      <c r="AR1062" s="68"/>
      <c r="AS1062" s="68"/>
      <c r="AT1062" s="68"/>
      <c r="AU1062" s="68"/>
      <c r="AV1062" s="68"/>
      <c r="AW1062" s="68"/>
      <c r="AX1062" s="68"/>
      <c r="AY1062" s="68"/>
      <c r="AZ1062" s="1174">
        <v>6000000</v>
      </c>
      <c r="BA1062" s="3" t="s">
        <v>2408</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2393</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2409</v>
      </c>
      <c r="BC1064" s="3"/>
      <c r="BD1064" s="3"/>
    </row>
    <row r="1065" spans="1:56" ht="12.95" customHeight="1">
      <c r="A1065" s="14"/>
      <c r="B1065" s="68"/>
      <c r="C1065" s="68"/>
      <c r="D1065" s="68"/>
      <c r="E1065" s="68"/>
      <c r="F1065" s="68"/>
      <c r="G1065" s="1169" t="s">
        <v>2394</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796">
        <f>'Sources and Uses Budget'!S107+'Sources and Uses Budget'!T107</f>
        <v>52312574</v>
      </c>
      <c r="AB1065" s="1796"/>
      <c r="AC1065" s="1796"/>
      <c r="AD1065" s="1796"/>
      <c r="AE1065" s="1796"/>
      <c r="AF1065" s="1796"/>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6823379.25</v>
      </c>
      <c r="BB1065" s="3" t="s">
        <v>2410</v>
      </c>
      <c r="BC1065" s="3"/>
      <c r="BD1065" s="3"/>
    </row>
    <row r="1066" spans="1:56" ht="12.95" customHeight="1">
      <c r="A1066" s="14"/>
      <c r="B1066" s="68"/>
      <c r="C1066" s="68"/>
      <c r="D1066" s="68"/>
      <c r="E1066" s="68"/>
      <c r="F1066" s="68"/>
      <c r="G1066" s="1169"/>
      <c r="H1066" s="1169" t="s">
        <v>2395</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797">
        <f>IFERROR((AA1065-BA1068)/(AJ1062-AJ1054-AJ1058),"")</f>
        <v>0.41407329037258789</v>
      </c>
      <c r="AB1066" s="1798"/>
      <c r="AC1066" s="1798"/>
      <c r="AD1066" s="1798"/>
      <c r="AE1066" s="1798"/>
      <c r="AF1066" s="1799"/>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00"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00"/>
      <c r="I1067" s="1800"/>
      <c r="J1067" s="1800"/>
      <c r="K1067" s="1800"/>
      <c r="L1067" s="1800"/>
      <c r="M1067" s="1800"/>
      <c r="N1067" s="1800"/>
      <c r="O1067" s="1800"/>
      <c r="P1067" s="1800"/>
      <c r="Q1067" s="1800"/>
      <c r="R1067" s="1800"/>
      <c r="S1067" s="1800"/>
      <c r="T1067" s="1800"/>
      <c r="U1067" s="1800"/>
      <c r="V1067" s="1800"/>
      <c r="W1067" s="1800"/>
      <c r="X1067" s="1800"/>
      <c r="Y1067" s="1800"/>
      <c r="Z1067" s="1800"/>
      <c r="AA1067" s="1800"/>
      <c r="AB1067" s="1800"/>
      <c r="AC1067" s="1800"/>
      <c r="AD1067" s="1800"/>
      <c r="AE1067" s="1800"/>
      <c r="AF1067" s="1800"/>
      <c r="AG1067" s="1800"/>
      <c r="AH1067" s="1800"/>
      <c r="AI1067" s="1800"/>
      <c r="AJ1067" s="1800"/>
      <c r="AK1067" s="1800"/>
      <c r="AL1067" s="1800"/>
      <c r="AM1067" s="1800"/>
      <c r="AN1067" s="1800"/>
      <c r="AO1067" s="68"/>
      <c r="AP1067" s="68"/>
      <c r="AQ1067" s="68"/>
      <c r="AR1067" s="68"/>
      <c r="AS1067" s="68"/>
      <c r="AT1067" s="68"/>
      <c r="AU1067" s="68"/>
      <c r="AV1067" s="14"/>
      <c r="AW1067" s="14"/>
      <c r="AX1067" s="14"/>
      <c r="AY1067" s="14"/>
      <c r="BA1067" s="1178">
        <f>'Sources and Uses Budget'!$S$104+'Sources and Uses Budget'!$T$104</f>
        <v>6823379</v>
      </c>
      <c r="BB1067" s="3" t="s">
        <v>2416</v>
      </c>
    </row>
    <row r="1068" spans="1:56" ht="12.95" customHeight="1">
      <c r="A1068" s="14"/>
      <c r="B1068" s="14"/>
      <c r="C1068" s="208"/>
      <c r="D1068" s="854"/>
      <c r="E1068" s="854"/>
      <c r="F1068" s="854"/>
      <c r="G1068" s="1800"/>
      <c r="H1068" s="1800"/>
      <c r="I1068" s="1800"/>
      <c r="J1068" s="1800"/>
      <c r="K1068" s="1800"/>
      <c r="L1068" s="1800"/>
      <c r="M1068" s="1800"/>
      <c r="N1068" s="1800"/>
      <c r="O1068" s="1800"/>
      <c r="P1068" s="1800"/>
      <c r="Q1068" s="1800"/>
      <c r="R1068" s="1800"/>
      <c r="S1068" s="1800"/>
      <c r="T1068" s="1800"/>
      <c r="U1068" s="1800"/>
      <c r="V1068" s="1800"/>
      <c r="W1068" s="1800"/>
      <c r="X1068" s="1800"/>
      <c r="Y1068" s="1800"/>
      <c r="Z1068" s="1800"/>
      <c r="AA1068" s="1800"/>
      <c r="AB1068" s="1800"/>
      <c r="AC1068" s="1800"/>
      <c r="AD1068" s="1800"/>
      <c r="AE1068" s="1800"/>
      <c r="AF1068" s="1800"/>
      <c r="AG1068" s="1800"/>
      <c r="AH1068" s="1800"/>
      <c r="AI1068" s="1800"/>
      <c r="AJ1068" s="1800"/>
      <c r="AK1068" s="1800"/>
      <c r="AL1068" s="1800"/>
      <c r="AM1068" s="1800"/>
      <c r="AN1068" s="1800"/>
      <c r="AO1068" s="68"/>
      <c r="AP1068" s="68"/>
      <c r="AQ1068" s="68"/>
      <c r="AR1068" s="68"/>
      <c r="AS1068" s="68"/>
      <c r="AT1068" s="68"/>
      <c r="AU1068" s="68"/>
      <c r="AV1068" s="14"/>
      <c r="AW1068" s="14"/>
      <c r="AX1068" s="14"/>
      <c r="AY1068" s="14"/>
      <c r="BA1068" s="1179">
        <f>MAX($BA$1067-$BA$1064,0)</f>
        <v>4323379</v>
      </c>
      <c r="BB1068" s="3" t="s">
        <v>2417</v>
      </c>
    </row>
    <row r="1069" spans="1:56" ht="12.95" customHeight="1">
      <c r="A1069" s="88"/>
      <c r="B1069" s="1165"/>
      <c r="C1069" s="1165"/>
      <c r="D1069" s="1165"/>
      <c r="E1069" s="1165"/>
      <c r="F1069" s="1165"/>
      <c r="G1069" s="1800"/>
      <c r="H1069" s="1800"/>
      <c r="I1069" s="1800"/>
      <c r="J1069" s="1800"/>
      <c r="K1069" s="1800"/>
      <c r="L1069" s="1800"/>
      <c r="M1069" s="1800"/>
      <c r="N1069" s="1800"/>
      <c r="O1069" s="1800"/>
      <c r="P1069" s="1800"/>
      <c r="Q1069" s="1800"/>
      <c r="R1069" s="1800"/>
      <c r="S1069" s="1800"/>
      <c r="T1069" s="1800"/>
      <c r="U1069" s="1800"/>
      <c r="V1069" s="1800"/>
      <c r="W1069" s="1800"/>
      <c r="X1069" s="1800"/>
      <c r="Y1069" s="1800"/>
      <c r="Z1069" s="1800"/>
      <c r="AA1069" s="1800"/>
      <c r="AB1069" s="1800"/>
      <c r="AC1069" s="1800"/>
      <c r="AD1069" s="1800"/>
      <c r="AE1069" s="1800"/>
      <c r="AF1069" s="1800"/>
      <c r="AG1069" s="1800"/>
      <c r="AH1069" s="1800"/>
      <c r="AI1069" s="1800"/>
      <c r="AJ1069" s="1800"/>
      <c r="AK1069" s="1800"/>
      <c r="AL1069" s="1800"/>
      <c r="AM1069" s="1800"/>
      <c r="AN1069" s="1800"/>
      <c r="AO1069" s="1165"/>
      <c r="AP1069" s="1165"/>
      <c r="AQ1069" s="68"/>
      <c r="AR1069" s="68"/>
      <c r="AS1069" s="68"/>
      <c r="AT1069" s="68"/>
      <c r="AU1069" s="68"/>
      <c r="AV1069" s="68"/>
      <c r="AW1069" s="68"/>
      <c r="AX1069" s="68"/>
      <c r="AY1069" s="68"/>
    </row>
    <row r="1070" spans="1:56" ht="12.95" customHeight="1">
      <c r="A1070" s="1329" t="s">
        <v>793</v>
      </c>
      <c r="B1070" s="1329"/>
      <c r="C1070" s="1329"/>
      <c r="D1070" s="1329"/>
      <c r="E1070" s="1329"/>
      <c r="F1070" s="1329"/>
      <c r="G1070" s="1329"/>
      <c r="H1070" s="1329"/>
      <c r="I1070" s="1329"/>
      <c r="J1070" s="1329"/>
      <c r="K1070" s="1329"/>
      <c r="L1070" s="1329"/>
      <c r="M1070" s="1329"/>
      <c r="N1070" s="1329"/>
      <c r="O1070" s="1329"/>
      <c r="P1070" s="1329"/>
      <c r="Q1070" s="1329"/>
      <c r="R1070" s="1329"/>
      <c r="S1070" s="1329"/>
      <c r="T1070" s="1329"/>
      <c r="U1070" s="1329"/>
      <c r="V1070" s="1329"/>
      <c r="W1070" s="1329"/>
      <c r="X1070" s="1329"/>
      <c r="Y1070" s="1329"/>
      <c r="Z1070" s="1329"/>
      <c r="AA1070" s="1329"/>
      <c r="AB1070" s="1329"/>
      <c r="AC1070" s="1329"/>
      <c r="AD1070" s="1329"/>
      <c r="AE1070" s="1329"/>
      <c r="AF1070" s="1329"/>
      <c r="AG1070" s="1329"/>
      <c r="AH1070" s="1329"/>
      <c r="AI1070" s="1329"/>
      <c r="AJ1070" s="1329"/>
      <c r="AK1070" s="1329"/>
      <c r="AL1070" s="1329"/>
      <c r="AM1070" s="1329"/>
      <c r="AN1070" s="1329"/>
      <c r="AO1070" s="1329"/>
      <c r="AP1070" s="1329"/>
      <c r="AQ1070" s="1329"/>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269" t="s">
        <v>590</v>
      </c>
      <c r="B1074" s="1269"/>
      <c r="C1074" s="1270">
        <v>1</v>
      </c>
      <c r="D1074" s="1270"/>
      <c r="E1074" s="14" t="s">
        <v>2189</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270"/>
      <c r="D1075" s="127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269" t="s">
        <v>590</v>
      </c>
      <c r="B1076" s="1269"/>
      <c r="C1076" s="1270">
        <v>2</v>
      </c>
      <c r="D1076" s="1270"/>
      <c r="E1076" s="1273" t="s">
        <v>2190</v>
      </c>
      <c r="F1076" s="1273"/>
      <c r="G1076" s="1273"/>
      <c r="H1076" s="1273"/>
      <c r="I1076" s="1273"/>
      <c r="J1076" s="1273"/>
      <c r="K1076" s="1273"/>
      <c r="L1076" s="1273"/>
      <c r="M1076" s="1273"/>
      <c r="N1076" s="1273"/>
      <c r="O1076" s="1273"/>
      <c r="P1076" s="1273"/>
      <c r="Q1076" s="1273"/>
      <c r="R1076" s="1273"/>
      <c r="S1076" s="1273"/>
      <c r="T1076" s="1273"/>
      <c r="U1076" s="1273"/>
      <c r="V1076" s="1273"/>
      <c r="W1076" s="1273"/>
      <c r="X1076" s="1273"/>
      <c r="Y1076" s="1273"/>
      <c r="Z1076" s="1273"/>
      <c r="AA1076" s="1273"/>
      <c r="AB1076" s="1273"/>
      <c r="AC1076" s="1273"/>
      <c r="AD1076" s="1273"/>
      <c r="AE1076" s="1273"/>
      <c r="AF1076" s="1273"/>
      <c r="AG1076" s="1273"/>
      <c r="AH1076" s="1273"/>
      <c r="AI1076" s="1273"/>
      <c r="AJ1076" s="1273"/>
      <c r="AK1076" s="1273"/>
      <c r="AL1076" s="1273"/>
      <c r="AM1076" s="1273"/>
      <c r="AN1076" s="1273"/>
      <c r="AO1076" s="1273"/>
      <c r="AP1076" s="1273"/>
      <c r="AQ1076" s="1273"/>
      <c r="AR1076" s="1273"/>
      <c r="AS1076" s="14"/>
      <c r="AT1076" s="14"/>
      <c r="AV1076" s="68"/>
      <c r="AW1076" s="68"/>
      <c r="AX1076" s="68"/>
      <c r="AY1076" s="68"/>
    </row>
    <row r="1077" spans="1:51" ht="12.95" customHeight="1">
      <c r="A1077" s="198"/>
      <c r="B1077" s="67"/>
      <c r="C1077" s="1270"/>
      <c r="D1077" s="1270"/>
      <c r="E1077" s="1273"/>
      <c r="F1077" s="1273"/>
      <c r="G1077" s="1273"/>
      <c r="H1077" s="1273"/>
      <c r="I1077" s="1273"/>
      <c r="J1077" s="1273"/>
      <c r="K1077" s="1273"/>
      <c r="L1077" s="1273"/>
      <c r="M1077" s="1273"/>
      <c r="N1077" s="1273"/>
      <c r="O1077" s="1273"/>
      <c r="P1077" s="1273"/>
      <c r="Q1077" s="1273"/>
      <c r="R1077" s="1273"/>
      <c r="S1077" s="1273"/>
      <c r="T1077" s="1273"/>
      <c r="U1077" s="1273"/>
      <c r="V1077" s="1273"/>
      <c r="W1077" s="1273"/>
      <c r="X1077" s="1273"/>
      <c r="Y1077" s="1273"/>
      <c r="Z1077" s="1273"/>
      <c r="AA1077" s="1273"/>
      <c r="AB1077" s="1273"/>
      <c r="AC1077" s="1273"/>
      <c r="AD1077" s="1273"/>
      <c r="AE1077" s="1273"/>
      <c r="AF1077" s="1273"/>
      <c r="AG1077" s="1273"/>
      <c r="AH1077" s="1273"/>
      <c r="AI1077" s="1273"/>
      <c r="AJ1077" s="1273"/>
      <c r="AK1077" s="1273"/>
      <c r="AL1077" s="1273"/>
      <c r="AM1077" s="1273"/>
      <c r="AN1077" s="1273"/>
      <c r="AO1077" s="1273"/>
      <c r="AP1077" s="1273"/>
      <c r="AQ1077" s="1273"/>
      <c r="AR1077" s="1273"/>
      <c r="AS1077" s="14"/>
      <c r="AT1077" s="14"/>
      <c r="AV1077" s="68"/>
      <c r="AW1077" s="68"/>
      <c r="AX1077" s="68"/>
      <c r="AY1077" s="68"/>
    </row>
    <row r="1078" spans="1:51" ht="12.95" customHeight="1">
      <c r="A1078" s="198"/>
      <c r="B1078" s="67"/>
      <c r="C1078" s="1270"/>
      <c r="D1078" s="127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269" t="s">
        <v>590</v>
      </c>
      <c r="B1079" s="1269"/>
      <c r="C1079" s="1272">
        <v>3</v>
      </c>
      <c r="D1079" s="1272"/>
      <c r="E1079" s="1274" t="s">
        <v>1079</v>
      </c>
      <c r="F1079" s="1274"/>
      <c r="G1079" s="1274"/>
      <c r="H1079" s="1274"/>
      <c r="I1079" s="1274"/>
      <c r="J1079" s="1274"/>
      <c r="K1079" s="1274"/>
      <c r="L1079" s="1274"/>
      <c r="M1079" s="1274"/>
      <c r="N1079" s="1274"/>
      <c r="O1079" s="1274"/>
      <c r="P1079" s="1274"/>
      <c r="Q1079" s="1274"/>
      <c r="R1079" s="1274"/>
      <c r="S1079" s="1274"/>
      <c r="T1079" s="1274"/>
      <c r="U1079" s="1274"/>
      <c r="V1079" s="1274"/>
      <c r="W1079" s="1274"/>
      <c r="X1079" s="1274"/>
      <c r="Y1079" s="1274"/>
      <c r="Z1079" s="1274"/>
      <c r="AA1079" s="1274"/>
      <c r="AB1079" s="1274"/>
      <c r="AC1079" s="1274"/>
      <c r="AD1079" s="1274"/>
      <c r="AE1079" s="1274"/>
      <c r="AF1079" s="1274"/>
      <c r="AG1079" s="1274"/>
      <c r="AH1079" s="1274"/>
      <c r="AI1079" s="1274"/>
      <c r="AJ1079" s="1274"/>
      <c r="AK1079" s="1274"/>
      <c r="AL1079" s="1274"/>
      <c r="AM1079" s="1274"/>
      <c r="AN1079" s="1274"/>
      <c r="AO1079" s="1274"/>
      <c r="AP1079" s="1274"/>
      <c r="AQ1079" s="1274"/>
      <c r="AR1079" s="1274"/>
      <c r="AS1079" s="14"/>
      <c r="AT1079" s="68"/>
      <c r="AV1079" s="68"/>
      <c r="AW1079" s="68"/>
      <c r="AX1079" s="68"/>
      <c r="AY1079" s="68"/>
    </row>
    <row r="1080" spans="1:51" ht="12.95" customHeight="1">
      <c r="A1080" s="1"/>
      <c r="B1080" s="1"/>
      <c r="C1080" s="1272"/>
      <c r="D1080" s="1272"/>
      <c r="E1080" s="1274"/>
      <c r="F1080" s="1274"/>
      <c r="G1080" s="1274"/>
      <c r="H1080" s="1274"/>
      <c r="I1080" s="1274"/>
      <c r="J1080" s="1274"/>
      <c r="K1080" s="1274"/>
      <c r="L1080" s="1274"/>
      <c r="M1080" s="1274"/>
      <c r="N1080" s="1274"/>
      <c r="O1080" s="1274"/>
      <c r="P1080" s="1274"/>
      <c r="Q1080" s="1274"/>
      <c r="R1080" s="1274"/>
      <c r="S1080" s="1274"/>
      <c r="T1080" s="1274"/>
      <c r="U1080" s="1274"/>
      <c r="V1080" s="1274"/>
      <c r="W1080" s="1274"/>
      <c r="X1080" s="1274"/>
      <c r="Y1080" s="1274"/>
      <c r="Z1080" s="1274"/>
      <c r="AA1080" s="1274"/>
      <c r="AB1080" s="1274"/>
      <c r="AC1080" s="1274"/>
      <c r="AD1080" s="1274"/>
      <c r="AE1080" s="1274"/>
      <c r="AF1080" s="1274"/>
      <c r="AG1080" s="1274"/>
      <c r="AH1080" s="1274"/>
      <c r="AI1080" s="1274"/>
      <c r="AJ1080" s="1274"/>
      <c r="AK1080" s="1274"/>
      <c r="AL1080" s="1274"/>
      <c r="AM1080" s="1274"/>
      <c r="AN1080" s="1274"/>
      <c r="AO1080" s="1274"/>
      <c r="AP1080" s="1274"/>
      <c r="AQ1080" s="1274"/>
      <c r="AR1080" s="1274"/>
      <c r="AS1080" s="14"/>
      <c r="AT1080" s="68"/>
      <c r="AV1080" s="68"/>
      <c r="AW1080" s="68"/>
      <c r="AX1080" s="68"/>
      <c r="AY1080" s="68"/>
    </row>
    <row r="1081" spans="1:51" ht="12.95" customHeight="1">
      <c r="A1081" s="1"/>
      <c r="B1081" s="1"/>
      <c r="C1081" s="1272"/>
      <c r="D1081" s="1272"/>
      <c r="E1081" s="1274"/>
      <c r="F1081" s="1274"/>
      <c r="G1081" s="1274"/>
      <c r="H1081" s="1274"/>
      <c r="I1081" s="1274"/>
      <c r="J1081" s="1274"/>
      <c r="K1081" s="1274"/>
      <c r="L1081" s="1274"/>
      <c r="M1081" s="1274"/>
      <c r="N1081" s="1274"/>
      <c r="O1081" s="1274"/>
      <c r="P1081" s="1274"/>
      <c r="Q1081" s="1274"/>
      <c r="R1081" s="1274"/>
      <c r="S1081" s="1274"/>
      <c r="T1081" s="1274"/>
      <c r="U1081" s="1274"/>
      <c r="V1081" s="1274"/>
      <c r="W1081" s="1274"/>
      <c r="X1081" s="1274"/>
      <c r="Y1081" s="1274"/>
      <c r="Z1081" s="1274"/>
      <c r="AA1081" s="1274"/>
      <c r="AB1081" s="1274"/>
      <c r="AC1081" s="1274"/>
      <c r="AD1081" s="1274"/>
      <c r="AE1081" s="1274"/>
      <c r="AF1081" s="1274"/>
      <c r="AG1081" s="1274"/>
      <c r="AH1081" s="1274"/>
      <c r="AI1081" s="1274"/>
      <c r="AJ1081" s="1274"/>
      <c r="AK1081" s="1274"/>
      <c r="AL1081" s="1274"/>
      <c r="AM1081" s="1274"/>
      <c r="AN1081" s="1274"/>
      <c r="AO1081" s="1274"/>
      <c r="AP1081" s="1274"/>
      <c r="AQ1081" s="1274"/>
      <c r="AR1081" s="1274"/>
      <c r="AS1081" s="14"/>
      <c r="AT1081" s="68"/>
      <c r="AV1081" s="68"/>
      <c r="AW1081" s="68"/>
      <c r="AX1081" s="68"/>
      <c r="AY1081" s="68"/>
    </row>
    <row r="1082" spans="1:51" ht="12.95" customHeight="1">
      <c r="A1082" s="1"/>
      <c r="B1082" s="1"/>
      <c r="C1082" s="1272"/>
      <c r="D1082" s="1272"/>
      <c r="E1082" s="1274"/>
      <c r="F1082" s="1274"/>
      <c r="G1082" s="1274"/>
      <c r="H1082" s="1274"/>
      <c r="I1082" s="1274"/>
      <c r="J1082" s="1274"/>
      <c r="K1082" s="1274"/>
      <c r="L1082" s="1274"/>
      <c r="M1082" s="1274"/>
      <c r="N1082" s="1274"/>
      <c r="O1082" s="1274"/>
      <c r="P1082" s="1274"/>
      <c r="Q1082" s="1274"/>
      <c r="R1082" s="1274"/>
      <c r="S1082" s="1274"/>
      <c r="T1082" s="1274"/>
      <c r="U1082" s="1274"/>
      <c r="V1082" s="1274"/>
      <c r="W1082" s="1274"/>
      <c r="X1082" s="1274"/>
      <c r="Y1082" s="1274"/>
      <c r="Z1082" s="1274"/>
      <c r="AA1082" s="1274"/>
      <c r="AB1082" s="1274"/>
      <c r="AC1082" s="1274"/>
      <c r="AD1082" s="1274"/>
      <c r="AE1082" s="1274"/>
      <c r="AF1082" s="1274"/>
      <c r="AG1082" s="1274"/>
      <c r="AH1082" s="1274"/>
      <c r="AI1082" s="1274"/>
      <c r="AJ1082" s="1274"/>
      <c r="AK1082" s="1274"/>
      <c r="AL1082" s="1274"/>
      <c r="AM1082" s="1274"/>
      <c r="AN1082" s="1274"/>
      <c r="AO1082" s="1274"/>
      <c r="AP1082" s="1274"/>
      <c r="AQ1082" s="1274"/>
      <c r="AR1082" s="1274"/>
      <c r="AS1082" s="14"/>
      <c r="AT1082" s="68"/>
      <c r="AV1082" s="68"/>
      <c r="AW1082" s="68"/>
      <c r="AX1082" s="68"/>
      <c r="AY1082" s="68"/>
    </row>
    <row r="1083" spans="1:51" ht="12.95" customHeight="1">
      <c r="A1083" s="2"/>
      <c r="B1083" s="25"/>
      <c r="C1083" s="1272"/>
      <c r="D1083" s="1272"/>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269" t="s">
        <v>590</v>
      </c>
      <c r="B1084" s="1269"/>
      <c r="C1084" s="1272">
        <v>4</v>
      </c>
      <c r="D1084" s="1272"/>
      <c r="E1084" s="1274" t="s">
        <v>1078</v>
      </c>
      <c r="F1084" s="1274"/>
      <c r="G1084" s="1274"/>
      <c r="H1084" s="1274"/>
      <c r="I1084" s="1274"/>
      <c r="J1084" s="1274"/>
      <c r="K1084" s="1274"/>
      <c r="L1084" s="1274"/>
      <c r="M1084" s="1274"/>
      <c r="N1084" s="1274"/>
      <c r="O1084" s="1274"/>
      <c r="P1084" s="1274"/>
      <c r="Q1084" s="1274"/>
      <c r="R1084" s="1274"/>
      <c r="S1084" s="1274"/>
      <c r="T1084" s="1274"/>
      <c r="U1084" s="1274"/>
      <c r="V1084" s="1274"/>
      <c r="W1084" s="1274"/>
      <c r="X1084" s="1274"/>
      <c r="Y1084" s="1274"/>
      <c r="Z1084" s="1274"/>
      <c r="AA1084" s="1274"/>
      <c r="AB1084" s="1274"/>
      <c r="AC1084" s="1274"/>
      <c r="AD1084" s="1274"/>
      <c r="AE1084" s="1274"/>
      <c r="AF1084" s="1274"/>
      <c r="AG1084" s="1274"/>
      <c r="AH1084" s="1274"/>
      <c r="AI1084" s="1274"/>
      <c r="AJ1084" s="1274"/>
      <c r="AK1084" s="1274"/>
      <c r="AL1084" s="1274"/>
      <c r="AM1084" s="1274"/>
      <c r="AN1084" s="1274"/>
      <c r="AO1084" s="1274"/>
      <c r="AP1084" s="1274"/>
      <c r="AQ1084" s="1274"/>
      <c r="AR1084" s="1274"/>
      <c r="AS1084" s="14"/>
      <c r="AT1084" s="68"/>
    </row>
    <row r="1085" spans="1:51" ht="12.95" customHeight="1">
      <c r="A1085" s="1"/>
      <c r="B1085" s="1"/>
      <c r="C1085" s="1272"/>
      <c r="D1085" s="1272"/>
      <c r="E1085" s="1274"/>
      <c r="F1085" s="1274"/>
      <c r="G1085" s="1274"/>
      <c r="H1085" s="1274"/>
      <c r="I1085" s="1274"/>
      <c r="J1085" s="1274"/>
      <c r="K1085" s="1274"/>
      <c r="L1085" s="1274"/>
      <c r="M1085" s="1274"/>
      <c r="N1085" s="1274"/>
      <c r="O1085" s="1274"/>
      <c r="P1085" s="1274"/>
      <c r="Q1085" s="1274"/>
      <c r="R1085" s="1274"/>
      <c r="S1085" s="1274"/>
      <c r="T1085" s="1274"/>
      <c r="U1085" s="1274"/>
      <c r="V1085" s="1274"/>
      <c r="W1085" s="1274"/>
      <c r="X1085" s="1274"/>
      <c r="Y1085" s="1274"/>
      <c r="Z1085" s="1274"/>
      <c r="AA1085" s="1274"/>
      <c r="AB1085" s="1274"/>
      <c r="AC1085" s="1274"/>
      <c r="AD1085" s="1274"/>
      <c r="AE1085" s="1274"/>
      <c r="AF1085" s="1274"/>
      <c r="AG1085" s="1274"/>
      <c r="AH1085" s="1274"/>
      <c r="AI1085" s="1274"/>
      <c r="AJ1085" s="1274"/>
      <c r="AK1085" s="1274"/>
      <c r="AL1085" s="1274"/>
      <c r="AM1085" s="1274"/>
      <c r="AN1085" s="1274"/>
      <c r="AO1085" s="1274"/>
      <c r="AP1085" s="1274"/>
      <c r="AQ1085" s="1274"/>
      <c r="AR1085" s="1274"/>
      <c r="AS1085" s="14"/>
      <c r="AT1085" s="68"/>
    </row>
    <row r="1086" spans="1:51" ht="12.95" customHeight="1">
      <c r="A1086" s="1"/>
      <c r="B1086" s="1"/>
      <c r="C1086" s="1272"/>
      <c r="D1086" s="1272"/>
      <c r="E1086" s="1274"/>
      <c r="F1086" s="1274"/>
      <c r="G1086" s="1274"/>
      <c r="H1086" s="1274"/>
      <c r="I1086" s="1274"/>
      <c r="J1086" s="1274"/>
      <c r="K1086" s="1274"/>
      <c r="L1086" s="1274"/>
      <c r="M1086" s="1274"/>
      <c r="N1086" s="1274"/>
      <c r="O1086" s="1274"/>
      <c r="P1086" s="1274"/>
      <c r="Q1086" s="1274"/>
      <c r="R1086" s="1274"/>
      <c r="S1086" s="1274"/>
      <c r="T1086" s="1274"/>
      <c r="U1086" s="1274"/>
      <c r="V1086" s="1274"/>
      <c r="W1086" s="1274"/>
      <c r="X1086" s="1274"/>
      <c r="Y1086" s="1274"/>
      <c r="Z1086" s="1274"/>
      <c r="AA1086" s="1274"/>
      <c r="AB1086" s="1274"/>
      <c r="AC1086" s="1274"/>
      <c r="AD1086" s="1274"/>
      <c r="AE1086" s="1274"/>
      <c r="AF1086" s="1274"/>
      <c r="AG1086" s="1274"/>
      <c r="AH1086" s="1274"/>
      <c r="AI1086" s="1274"/>
      <c r="AJ1086" s="1274"/>
      <c r="AK1086" s="1274"/>
      <c r="AL1086" s="1274"/>
      <c r="AM1086" s="1274"/>
      <c r="AN1086" s="1274"/>
      <c r="AO1086" s="1274"/>
      <c r="AP1086" s="1274"/>
      <c r="AQ1086" s="1274"/>
      <c r="AR1086" s="1274"/>
      <c r="AS1086" s="14"/>
      <c r="AT1086" s="68"/>
    </row>
    <row r="1087" spans="1:51" ht="12.95" customHeight="1">
      <c r="A1087" s="1"/>
      <c r="B1087" s="1"/>
      <c r="C1087" s="1272"/>
      <c r="D1087" s="1272"/>
      <c r="E1087" s="1274"/>
      <c r="F1087" s="1274"/>
      <c r="G1087" s="1274"/>
      <c r="H1087" s="1274"/>
      <c r="I1087" s="1274"/>
      <c r="J1087" s="1274"/>
      <c r="K1087" s="1274"/>
      <c r="L1087" s="1274"/>
      <c r="M1087" s="1274"/>
      <c r="N1087" s="1274"/>
      <c r="O1087" s="1274"/>
      <c r="P1087" s="1274"/>
      <c r="Q1087" s="1274"/>
      <c r="R1087" s="1274"/>
      <c r="S1087" s="1274"/>
      <c r="T1087" s="1274"/>
      <c r="U1087" s="1274"/>
      <c r="V1087" s="1274"/>
      <c r="W1087" s="1274"/>
      <c r="X1087" s="1274"/>
      <c r="Y1087" s="1274"/>
      <c r="Z1087" s="1274"/>
      <c r="AA1087" s="1274"/>
      <c r="AB1087" s="1274"/>
      <c r="AC1087" s="1274"/>
      <c r="AD1087" s="1274"/>
      <c r="AE1087" s="1274"/>
      <c r="AF1087" s="1274"/>
      <c r="AG1087" s="1274"/>
      <c r="AH1087" s="1274"/>
      <c r="AI1087" s="1274"/>
      <c r="AJ1087" s="1274"/>
      <c r="AK1087" s="1274"/>
      <c r="AL1087" s="1274"/>
      <c r="AM1087" s="1274"/>
      <c r="AN1087" s="1274"/>
      <c r="AO1087" s="1274"/>
      <c r="AP1087" s="1274"/>
      <c r="AQ1087" s="1274"/>
      <c r="AR1087" s="1274"/>
      <c r="AS1087" s="14"/>
      <c r="AT1087" s="68"/>
    </row>
    <row r="1088" spans="1:51" ht="12.95" customHeight="1">
      <c r="A1088" s="1"/>
      <c r="B1088" s="1"/>
      <c r="C1088" s="1272"/>
      <c r="D1088" s="1272"/>
      <c r="E1088" s="1274"/>
      <c r="F1088" s="1274"/>
      <c r="G1088" s="1274"/>
      <c r="H1088" s="1274"/>
      <c r="I1088" s="1274"/>
      <c r="J1088" s="1274"/>
      <c r="K1088" s="1274"/>
      <c r="L1088" s="1274"/>
      <c r="M1088" s="1274"/>
      <c r="N1088" s="1274"/>
      <c r="O1088" s="1274"/>
      <c r="P1088" s="1274"/>
      <c r="Q1088" s="1274"/>
      <c r="R1088" s="1274"/>
      <c r="S1088" s="1274"/>
      <c r="T1088" s="1274"/>
      <c r="U1088" s="1274"/>
      <c r="V1088" s="1274"/>
      <c r="W1088" s="1274"/>
      <c r="X1088" s="1274"/>
      <c r="Y1088" s="1274"/>
      <c r="Z1088" s="1274"/>
      <c r="AA1088" s="1274"/>
      <c r="AB1088" s="1274"/>
      <c r="AC1088" s="1274"/>
      <c r="AD1088" s="1274"/>
      <c r="AE1088" s="1274"/>
      <c r="AF1088" s="1274"/>
      <c r="AG1088" s="1274"/>
      <c r="AH1088" s="1274"/>
      <c r="AI1088" s="1274"/>
      <c r="AJ1088" s="1274"/>
      <c r="AK1088" s="1274"/>
      <c r="AL1088" s="1274"/>
      <c r="AM1088" s="1274"/>
      <c r="AN1088" s="1274"/>
      <c r="AO1088" s="1274"/>
      <c r="AP1088" s="1274"/>
      <c r="AQ1088" s="1274"/>
      <c r="AR1088" s="1274"/>
      <c r="AS1088" s="14"/>
      <c r="AT1088" s="68"/>
    </row>
    <row r="1089" spans="1:45" ht="12.95" customHeight="1">
      <c r="A1089" s="1"/>
      <c r="B1089" s="1"/>
      <c r="C1089" s="1272"/>
      <c r="D1089" s="1272"/>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269" t="s">
        <v>590</v>
      </c>
      <c r="B1090" s="1269"/>
      <c r="C1090" s="1272">
        <v>5</v>
      </c>
      <c r="D1090" s="1272"/>
      <c r="E1090" s="1274" t="s">
        <v>2193</v>
      </c>
      <c r="F1090" s="1274"/>
      <c r="G1090" s="1274"/>
      <c r="H1090" s="1274"/>
      <c r="I1090" s="1274"/>
      <c r="J1090" s="1274"/>
      <c r="K1090" s="1274"/>
      <c r="L1090" s="1274"/>
      <c r="M1090" s="1274"/>
      <c r="N1090" s="1274"/>
      <c r="O1090" s="1274"/>
      <c r="P1090" s="1274"/>
      <c r="Q1090" s="1274"/>
      <c r="R1090" s="1274"/>
      <c r="S1090" s="1274"/>
      <c r="T1090" s="1274"/>
      <c r="U1090" s="1274"/>
      <c r="V1090" s="1274"/>
      <c r="W1090" s="1274"/>
      <c r="X1090" s="1274"/>
      <c r="Y1090" s="1274"/>
      <c r="Z1090" s="1274"/>
      <c r="AA1090" s="1274"/>
      <c r="AB1090" s="1274"/>
      <c r="AC1090" s="1274"/>
      <c r="AD1090" s="1274"/>
      <c r="AE1090" s="1274"/>
      <c r="AF1090" s="1274"/>
      <c r="AG1090" s="1274"/>
      <c r="AH1090" s="1274"/>
      <c r="AI1090" s="1274"/>
      <c r="AJ1090" s="1274"/>
      <c r="AK1090" s="1274"/>
      <c r="AL1090" s="1274"/>
      <c r="AM1090" s="1274"/>
      <c r="AN1090" s="1274"/>
      <c r="AO1090" s="1274"/>
      <c r="AP1090" s="1274"/>
      <c r="AQ1090" s="1274"/>
      <c r="AR1090" s="1274"/>
      <c r="AS1090" s="14"/>
    </row>
    <row r="1091" spans="1:45" ht="12.95" customHeight="1">
      <c r="A1091" s="4"/>
      <c r="B1091" s="4"/>
      <c r="C1091" s="1272"/>
      <c r="D1091" s="1272"/>
      <c r="E1091" s="1274"/>
      <c r="F1091" s="1274"/>
      <c r="G1091" s="1274"/>
      <c r="H1091" s="1274"/>
      <c r="I1091" s="1274"/>
      <c r="J1091" s="1274"/>
      <c r="K1091" s="1274"/>
      <c r="L1091" s="1274"/>
      <c r="M1091" s="1274"/>
      <c r="N1091" s="1274"/>
      <c r="O1091" s="1274"/>
      <c r="P1091" s="1274"/>
      <c r="Q1091" s="1274"/>
      <c r="R1091" s="1274"/>
      <c r="S1091" s="1274"/>
      <c r="T1091" s="1274"/>
      <c r="U1091" s="1274"/>
      <c r="V1091" s="1274"/>
      <c r="W1091" s="1274"/>
      <c r="X1091" s="1274"/>
      <c r="Y1091" s="1274"/>
      <c r="Z1091" s="1274"/>
      <c r="AA1091" s="1274"/>
      <c r="AB1091" s="1274"/>
      <c r="AC1091" s="1274"/>
      <c r="AD1091" s="1274"/>
      <c r="AE1091" s="1274"/>
      <c r="AF1091" s="1274"/>
      <c r="AG1091" s="1274"/>
      <c r="AH1091" s="1274"/>
      <c r="AI1091" s="1274"/>
      <c r="AJ1091" s="1274"/>
      <c r="AK1091" s="1274"/>
      <c r="AL1091" s="1274"/>
      <c r="AM1091" s="1274"/>
      <c r="AN1091" s="1274"/>
      <c r="AO1091" s="1274"/>
      <c r="AP1091" s="1274"/>
      <c r="AQ1091" s="1274"/>
      <c r="AR1091" s="1274"/>
      <c r="AS1091" s="14"/>
    </row>
    <row r="1092" spans="1:45" ht="12.95" customHeight="1">
      <c r="A1092" s="4"/>
      <c r="B1092" s="4"/>
      <c r="C1092" s="1272"/>
      <c r="D1092" s="1272"/>
      <c r="E1092" s="1274"/>
      <c r="F1092" s="1274"/>
      <c r="G1092" s="1274"/>
      <c r="H1092" s="1274"/>
      <c r="I1092" s="1274"/>
      <c r="J1092" s="1274"/>
      <c r="K1092" s="1274"/>
      <c r="L1092" s="1274"/>
      <c r="M1092" s="1274"/>
      <c r="N1092" s="1274"/>
      <c r="O1092" s="1274"/>
      <c r="P1092" s="1274"/>
      <c r="Q1092" s="1274"/>
      <c r="R1092" s="1274"/>
      <c r="S1092" s="1274"/>
      <c r="T1092" s="1274"/>
      <c r="U1092" s="1274"/>
      <c r="V1092" s="1274"/>
      <c r="W1092" s="1274"/>
      <c r="X1092" s="1274"/>
      <c r="Y1092" s="1274"/>
      <c r="Z1092" s="1274"/>
      <c r="AA1092" s="1274"/>
      <c r="AB1092" s="1274"/>
      <c r="AC1092" s="1274"/>
      <c r="AD1092" s="1274"/>
      <c r="AE1092" s="1274"/>
      <c r="AF1092" s="1274"/>
      <c r="AG1092" s="1274"/>
      <c r="AH1092" s="1274"/>
      <c r="AI1092" s="1274"/>
      <c r="AJ1092" s="1274"/>
      <c r="AK1092" s="1274"/>
      <c r="AL1092" s="1274"/>
      <c r="AM1092" s="1274"/>
      <c r="AN1092" s="1274"/>
      <c r="AO1092" s="1274"/>
      <c r="AP1092" s="1274"/>
      <c r="AQ1092" s="1274"/>
      <c r="AR1092" s="1274"/>
      <c r="AS1092" s="14"/>
    </row>
    <row r="1093" spans="1:45" ht="12.95" customHeight="1">
      <c r="A1093" s="35"/>
      <c r="B1093" s="25"/>
      <c r="C1093" s="1272"/>
      <c r="D1093" s="1272"/>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269" t="s">
        <v>590</v>
      </c>
      <c r="B1094" s="1269"/>
      <c r="C1094" s="1272">
        <v>6</v>
      </c>
      <c r="D1094" s="1272"/>
      <c r="E1094" s="1274" t="s">
        <v>2194</v>
      </c>
      <c r="F1094" s="1274"/>
      <c r="G1094" s="1274"/>
      <c r="H1094" s="1274"/>
      <c r="I1094" s="1274"/>
      <c r="J1094" s="1274"/>
      <c r="K1094" s="1274"/>
      <c r="L1094" s="1274"/>
      <c r="M1094" s="1274"/>
      <c r="N1094" s="1274"/>
      <c r="O1094" s="1274"/>
      <c r="P1094" s="1274"/>
      <c r="Q1094" s="1274"/>
      <c r="R1094" s="1274"/>
      <c r="S1094" s="1274"/>
      <c r="T1094" s="1274"/>
      <c r="U1094" s="1274"/>
      <c r="V1094" s="1274"/>
      <c r="W1094" s="1274"/>
      <c r="X1094" s="1274"/>
      <c r="Y1094" s="1274"/>
      <c r="Z1094" s="1274"/>
      <c r="AA1094" s="1274"/>
      <c r="AB1094" s="1274"/>
      <c r="AC1094" s="1274"/>
      <c r="AD1094" s="1274"/>
      <c r="AE1094" s="1274"/>
      <c r="AF1094" s="1274"/>
      <c r="AG1094" s="1274"/>
      <c r="AH1094" s="1274"/>
      <c r="AI1094" s="1274"/>
      <c r="AJ1094" s="1274"/>
      <c r="AK1094" s="1274"/>
      <c r="AL1094" s="1274"/>
      <c r="AM1094" s="1274"/>
      <c r="AN1094" s="1274"/>
      <c r="AO1094" s="1274"/>
      <c r="AP1094" s="1274"/>
      <c r="AQ1094" s="1274"/>
      <c r="AR1094" s="1274"/>
      <c r="AS1094" s="14"/>
    </row>
    <row r="1095" spans="1:45" ht="12.95" customHeight="1">
      <c r="A1095" s="1"/>
      <c r="B1095" s="1"/>
      <c r="C1095" s="1"/>
      <c r="D1095" s="1"/>
      <c r="E1095" s="1274"/>
      <c r="F1095" s="1274"/>
      <c r="G1095" s="1274"/>
      <c r="H1095" s="1274"/>
      <c r="I1095" s="1274"/>
      <c r="J1095" s="1274"/>
      <c r="K1095" s="1274"/>
      <c r="L1095" s="1274"/>
      <c r="M1095" s="1274"/>
      <c r="N1095" s="1274"/>
      <c r="O1095" s="1274"/>
      <c r="P1095" s="1274"/>
      <c r="Q1095" s="1274"/>
      <c r="R1095" s="1274"/>
      <c r="S1095" s="1274"/>
      <c r="T1095" s="1274"/>
      <c r="U1095" s="1274"/>
      <c r="V1095" s="1274"/>
      <c r="W1095" s="1274"/>
      <c r="X1095" s="1274"/>
      <c r="Y1095" s="1274"/>
      <c r="Z1095" s="1274"/>
      <c r="AA1095" s="1274"/>
      <c r="AB1095" s="1274"/>
      <c r="AC1095" s="1274"/>
      <c r="AD1095" s="1274"/>
      <c r="AE1095" s="1274"/>
      <c r="AF1095" s="1274"/>
      <c r="AG1095" s="1274"/>
      <c r="AH1095" s="1274"/>
      <c r="AI1095" s="1274"/>
      <c r="AJ1095" s="1274"/>
      <c r="AK1095" s="1274"/>
      <c r="AL1095" s="1274"/>
      <c r="AM1095" s="1274"/>
      <c r="AN1095" s="1274"/>
      <c r="AO1095" s="1274"/>
      <c r="AP1095" s="1274"/>
      <c r="AQ1095" s="1274"/>
      <c r="AR1095" s="1274"/>
      <c r="AS1095" s="14"/>
    </row>
    <row r="1096" spans="1:45" ht="12.95" customHeight="1">
      <c r="A1096" s="1"/>
      <c r="B1096" s="1"/>
      <c r="C1096" s="1272"/>
      <c r="D1096" s="1272"/>
      <c r="E1096" s="1274"/>
      <c r="F1096" s="1274"/>
      <c r="G1096" s="1274"/>
      <c r="H1096" s="1274"/>
      <c r="I1096" s="1274"/>
      <c r="J1096" s="1274"/>
      <c r="K1096" s="1274"/>
      <c r="L1096" s="1274"/>
      <c r="M1096" s="1274"/>
      <c r="N1096" s="1274"/>
      <c r="O1096" s="1274"/>
      <c r="P1096" s="1274"/>
      <c r="Q1096" s="1274"/>
      <c r="R1096" s="1274"/>
      <c r="S1096" s="1274"/>
      <c r="T1096" s="1274"/>
      <c r="U1096" s="1274"/>
      <c r="V1096" s="1274"/>
      <c r="W1096" s="1274"/>
      <c r="X1096" s="1274"/>
      <c r="Y1096" s="1274"/>
      <c r="Z1096" s="1274"/>
      <c r="AA1096" s="1274"/>
      <c r="AB1096" s="1274"/>
      <c r="AC1096" s="1274"/>
      <c r="AD1096" s="1274"/>
      <c r="AE1096" s="1274"/>
      <c r="AF1096" s="1274"/>
      <c r="AG1096" s="1274"/>
      <c r="AH1096" s="1274"/>
      <c r="AI1096" s="1274"/>
      <c r="AJ1096" s="1274"/>
      <c r="AK1096" s="1274"/>
      <c r="AL1096" s="1274"/>
      <c r="AM1096" s="1274"/>
      <c r="AN1096" s="1274"/>
      <c r="AO1096" s="1274"/>
      <c r="AP1096" s="1274"/>
      <c r="AQ1096" s="1274"/>
      <c r="AR1096" s="1274"/>
      <c r="AS1096" s="14"/>
    </row>
    <row r="1097" spans="1:45" ht="12.95" customHeight="1">
      <c r="A1097" s="35"/>
      <c r="B1097" s="25"/>
      <c r="C1097" s="1272"/>
      <c r="D1097" s="1272"/>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269" t="s">
        <v>590</v>
      </c>
      <c r="B1098" s="1269"/>
      <c r="C1098" s="1272">
        <v>7</v>
      </c>
      <c r="D1098" s="1272"/>
      <c r="E1098" s="1274" t="s">
        <v>2092</v>
      </c>
      <c r="F1098" s="1274"/>
      <c r="G1098" s="1274"/>
      <c r="H1098" s="1274"/>
      <c r="I1098" s="1274"/>
      <c r="J1098" s="1274"/>
      <c r="K1098" s="1274"/>
      <c r="L1098" s="1274"/>
      <c r="M1098" s="1274"/>
      <c r="N1098" s="1274"/>
      <c r="O1098" s="1274"/>
      <c r="P1098" s="1274"/>
      <c r="Q1098" s="1274"/>
      <c r="R1098" s="1274"/>
      <c r="S1098" s="1274"/>
      <c r="T1098" s="1274"/>
      <c r="U1098" s="1274"/>
      <c r="V1098" s="1274"/>
      <c r="W1098" s="1274"/>
      <c r="X1098" s="1274"/>
      <c r="Y1098" s="1274"/>
      <c r="Z1098" s="1274"/>
      <c r="AA1098" s="1274"/>
      <c r="AB1098" s="1274"/>
      <c r="AC1098" s="1274"/>
      <c r="AD1098" s="1274"/>
      <c r="AE1098" s="1274"/>
      <c r="AF1098" s="1274"/>
      <c r="AG1098" s="1274"/>
      <c r="AH1098" s="1274"/>
      <c r="AI1098" s="1274"/>
      <c r="AJ1098" s="1274"/>
      <c r="AK1098" s="1274"/>
      <c r="AL1098" s="1274"/>
      <c r="AM1098" s="1274"/>
      <c r="AN1098" s="1274"/>
      <c r="AO1098" s="1274"/>
      <c r="AP1098" s="1274"/>
      <c r="AQ1098" s="1274"/>
      <c r="AR1098" s="1274"/>
      <c r="AS1098" s="14"/>
    </row>
    <row r="1099" spans="1:45" ht="12.95" customHeight="1">
      <c r="A1099" s="1"/>
      <c r="B1099" s="1"/>
      <c r="C1099" s="1272"/>
      <c r="D1099" s="1272"/>
      <c r="E1099" s="1274"/>
      <c r="F1099" s="1274"/>
      <c r="G1099" s="1274"/>
      <c r="H1099" s="1274"/>
      <c r="I1099" s="1274"/>
      <c r="J1099" s="1274"/>
      <c r="K1099" s="1274"/>
      <c r="L1099" s="1274"/>
      <c r="M1099" s="1274"/>
      <c r="N1099" s="1274"/>
      <c r="O1099" s="1274"/>
      <c r="P1099" s="1274"/>
      <c r="Q1099" s="1274"/>
      <c r="R1099" s="1274"/>
      <c r="S1099" s="1274"/>
      <c r="T1099" s="1274"/>
      <c r="U1099" s="1274"/>
      <c r="V1099" s="1274"/>
      <c r="W1099" s="1274"/>
      <c r="X1099" s="1274"/>
      <c r="Y1099" s="1274"/>
      <c r="Z1099" s="1274"/>
      <c r="AA1099" s="1274"/>
      <c r="AB1099" s="1274"/>
      <c r="AC1099" s="1274"/>
      <c r="AD1099" s="1274"/>
      <c r="AE1099" s="1274"/>
      <c r="AF1099" s="1274"/>
      <c r="AG1099" s="1274"/>
      <c r="AH1099" s="1274"/>
      <c r="AI1099" s="1274"/>
      <c r="AJ1099" s="1274"/>
      <c r="AK1099" s="1274"/>
      <c r="AL1099" s="1274"/>
      <c r="AM1099" s="1274"/>
      <c r="AN1099" s="1274"/>
      <c r="AO1099" s="1274"/>
      <c r="AP1099" s="1274"/>
      <c r="AQ1099" s="1274"/>
      <c r="AR1099" s="1274"/>
      <c r="AS1099" s="14"/>
    </row>
    <row r="1100" spans="1:45" ht="12.95" customHeight="1">
      <c r="A1100" s="1"/>
      <c r="B1100" s="1"/>
      <c r="C1100" s="1272"/>
      <c r="D1100" s="1272"/>
      <c r="E1100" s="1274"/>
      <c r="F1100" s="1274"/>
      <c r="G1100" s="1274"/>
      <c r="H1100" s="1274"/>
      <c r="I1100" s="1274"/>
      <c r="J1100" s="1274"/>
      <c r="K1100" s="1274"/>
      <c r="L1100" s="1274"/>
      <c r="M1100" s="1274"/>
      <c r="N1100" s="1274"/>
      <c r="O1100" s="1274"/>
      <c r="P1100" s="1274"/>
      <c r="Q1100" s="1274"/>
      <c r="R1100" s="1274"/>
      <c r="S1100" s="1274"/>
      <c r="T1100" s="1274"/>
      <c r="U1100" s="1274"/>
      <c r="V1100" s="1274"/>
      <c r="W1100" s="1274"/>
      <c r="X1100" s="1274"/>
      <c r="Y1100" s="1274"/>
      <c r="Z1100" s="1274"/>
      <c r="AA1100" s="1274"/>
      <c r="AB1100" s="1274"/>
      <c r="AC1100" s="1274"/>
      <c r="AD1100" s="1274"/>
      <c r="AE1100" s="1274"/>
      <c r="AF1100" s="1274"/>
      <c r="AG1100" s="1274"/>
      <c r="AH1100" s="1274"/>
      <c r="AI1100" s="1274"/>
      <c r="AJ1100" s="1274"/>
      <c r="AK1100" s="1274"/>
      <c r="AL1100" s="1274"/>
      <c r="AM1100" s="1274"/>
      <c r="AN1100" s="1274"/>
      <c r="AO1100" s="1274"/>
      <c r="AP1100" s="1274"/>
      <c r="AQ1100" s="1274"/>
      <c r="AR1100" s="1274"/>
      <c r="AS1100" s="14"/>
    </row>
    <row r="1101" spans="1:45" ht="12.95" customHeight="1">
      <c r="A1101" s="1"/>
      <c r="B1101" s="1"/>
      <c r="C1101" s="1272"/>
      <c r="D1101" s="1272"/>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272"/>
      <c r="D1102" s="1272"/>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269" t="s">
        <v>590</v>
      </c>
      <c r="B1103" s="1269"/>
      <c r="C1103" s="1272">
        <v>8</v>
      </c>
      <c r="D1103" s="1272"/>
      <c r="E1103" s="1274" t="s">
        <v>1072</v>
      </c>
      <c r="F1103" s="1274"/>
      <c r="G1103" s="1274"/>
      <c r="H1103" s="1274"/>
      <c r="I1103" s="1274"/>
      <c r="J1103" s="1274"/>
      <c r="K1103" s="1274"/>
      <c r="L1103" s="1274"/>
      <c r="M1103" s="1274"/>
      <c r="N1103" s="1274"/>
      <c r="O1103" s="1274"/>
      <c r="P1103" s="1274"/>
      <c r="Q1103" s="1274"/>
      <c r="R1103" s="1274"/>
      <c r="S1103" s="1274"/>
      <c r="T1103" s="1274"/>
      <c r="U1103" s="1274"/>
      <c r="V1103" s="1274"/>
      <c r="W1103" s="1274"/>
      <c r="X1103" s="1274"/>
      <c r="Y1103" s="1274"/>
      <c r="Z1103" s="1274"/>
      <c r="AA1103" s="1274"/>
      <c r="AB1103" s="1274"/>
      <c r="AC1103" s="1274"/>
      <c r="AD1103" s="1274"/>
      <c r="AE1103" s="1274"/>
      <c r="AF1103" s="1274"/>
      <c r="AG1103" s="1274"/>
      <c r="AH1103" s="1274"/>
      <c r="AI1103" s="1274"/>
      <c r="AJ1103" s="1274"/>
      <c r="AK1103" s="1274"/>
      <c r="AL1103" s="1274"/>
      <c r="AM1103" s="1274"/>
      <c r="AN1103" s="1274"/>
      <c r="AO1103" s="1274"/>
      <c r="AP1103" s="1274"/>
      <c r="AQ1103" s="1274"/>
      <c r="AR1103" s="1274"/>
    </row>
    <row r="1104" spans="1:45" ht="12.95" customHeight="1">
      <c r="A1104" s="35"/>
      <c r="B1104" s="25"/>
      <c r="C1104" s="1272"/>
      <c r="D1104" s="1272"/>
      <c r="E1104" s="1274"/>
      <c r="F1104" s="1274"/>
      <c r="G1104" s="1274"/>
      <c r="H1104" s="1274"/>
      <c r="I1104" s="1274"/>
      <c r="J1104" s="1274"/>
      <c r="K1104" s="1274"/>
      <c r="L1104" s="1274"/>
      <c r="M1104" s="1274"/>
      <c r="N1104" s="1274"/>
      <c r="O1104" s="1274"/>
      <c r="P1104" s="1274"/>
      <c r="Q1104" s="1274"/>
      <c r="R1104" s="1274"/>
      <c r="S1104" s="1274"/>
      <c r="T1104" s="1274"/>
      <c r="U1104" s="1274"/>
      <c r="V1104" s="1274"/>
      <c r="W1104" s="1274"/>
      <c r="X1104" s="1274"/>
      <c r="Y1104" s="1274"/>
      <c r="Z1104" s="1274"/>
      <c r="AA1104" s="1274"/>
      <c r="AB1104" s="1274"/>
      <c r="AC1104" s="1274"/>
      <c r="AD1104" s="1274"/>
      <c r="AE1104" s="1274"/>
      <c r="AF1104" s="1274"/>
      <c r="AG1104" s="1274"/>
      <c r="AH1104" s="1274"/>
      <c r="AI1104" s="1274"/>
      <c r="AJ1104" s="1274"/>
      <c r="AK1104" s="1274"/>
      <c r="AL1104" s="1274"/>
      <c r="AM1104" s="1274"/>
      <c r="AN1104" s="1274"/>
      <c r="AO1104" s="1274"/>
      <c r="AP1104" s="1274"/>
      <c r="AQ1104" s="1274"/>
      <c r="AR1104" s="1274"/>
    </row>
    <row r="1105" spans="1:44" ht="12.95" customHeight="1">
      <c r="A1105" s="35"/>
      <c r="B1105" s="25"/>
      <c r="C1105" s="1272"/>
      <c r="D1105" s="1272"/>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269" t="s">
        <v>590</v>
      </c>
      <c r="B1106" s="1269"/>
      <c r="C1106" s="1270">
        <v>9</v>
      </c>
      <c r="D1106" s="1270"/>
      <c r="E1106" s="1274" t="s">
        <v>1074</v>
      </c>
      <c r="F1106" s="1274"/>
      <c r="G1106" s="1274"/>
      <c r="H1106" s="1274"/>
      <c r="I1106" s="1274"/>
      <c r="J1106" s="1274"/>
      <c r="K1106" s="1274"/>
      <c r="L1106" s="1274"/>
      <c r="M1106" s="1274"/>
      <c r="N1106" s="1274"/>
      <c r="O1106" s="1274"/>
      <c r="P1106" s="1274"/>
      <c r="Q1106" s="1274"/>
      <c r="R1106" s="1274"/>
      <c r="S1106" s="1274"/>
      <c r="T1106" s="1274"/>
      <c r="U1106" s="1274"/>
      <c r="V1106" s="1274"/>
      <c r="W1106" s="1274"/>
      <c r="X1106" s="1274"/>
      <c r="Y1106" s="1274"/>
      <c r="Z1106" s="1274"/>
      <c r="AA1106" s="1274"/>
      <c r="AB1106" s="1274"/>
      <c r="AC1106" s="1274"/>
      <c r="AD1106" s="1274"/>
      <c r="AE1106" s="1274"/>
      <c r="AF1106" s="1274"/>
      <c r="AG1106" s="1274"/>
      <c r="AH1106" s="1274"/>
      <c r="AI1106" s="1274"/>
      <c r="AJ1106" s="1274"/>
      <c r="AK1106" s="1274"/>
      <c r="AL1106" s="1274"/>
      <c r="AM1106" s="1274"/>
      <c r="AN1106" s="1274"/>
      <c r="AO1106" s="1274"/>
      <c r="AP1106" s="1274"/>
      <c r="AQ1106" s="1274"/>
      <c r="AR1106" s="1274"/>
    </row>
    <row r="1107" spans="1:44" ht="12.95" customHeight="1">
      <c r="A1107" s="1"/>
      <c r="B1107" s="1"/>
      <c r="C1107" s="1270"/>
      <c r="D1107" s="1270"/>
      <c r="E1107" s="1274"/>
      <c r="F1107" s="1274"/>
      <c r="G1107" s="1274"/>
      <c r="H1107" s="1274"/>
      <c r="I1107" s="1274"/>
      <c r="J1107" s="1274"/>
      <c r="K1107" s="1274"/>
      <c r="L1107" s="1274"/>
      <c r="M1107" s="1274"/>
      <c r="N1107" s="1274"/>
      <c r="O1107" s="1274"/>
      <c r="P1107" s="1274"/>
      <c r="Q1107" s="1274"/>
      <c r="R1107" s="1274"/>
      <c r="S1107" s="1274"/>
      <c r="T1107" s="1274"/>
      <c r="U1107" s="1274"/>
      <c r="V1107" s="1274"/>
      <c r="W1107" s="1274"/>
      <c r="X1107" s="1274"/>
      <c r="Y1107" s="1274"/>
      <c r="Z1107" s="1274"/>
      <c r="AA1107" s="1274"/>
      <c r="AB1107" s="1274"/>
      <c r="AC1107" s="1274"/>
      <c r="AD1107" s="1274"/>
      <c r="AE1107" s="1274"/>
      <c r="AF1107" s="1274"/>
      <c r="AG1107" s="1274"/>
      <c r="AH1107" s="1274"/>
      <c r="AI1107" s="1274"/>
      <c r="AJ1107" s="1274"/>
      <c r="AK1107" s="1274"/>
      <c r="AL1107" s="1274"/>
      <c r="AM1107" s="1274"/>
      <c r="AN1107" s="1274"/>
      <c r="AO1107" s="1274"/>
      <c r="AP1107" s="1274"/>
      <c r="AQ1107" s="1274"/>
      <c r="AR1107" s="1274"/>
    </row>
    <row r="1108" spans="1:44" ht="12.95" customHeight="1">
      <c r="A1108" s="35"/>
      <c r="B1108" s="25"/>
      <c r="C1108" s="1270"/>
      <c r="D1108" s="127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269" t="s">
        <v>590</v>
      </c>
      <c r="B1109" s="1269"/>
      <c r="C1109" s="1270">
        <v>10</v>
      </c>
      <c r="D1109" s="1270"/>
      <c r="E1109" s="1271" t="s">
        <v>2191</v>
      </c>
      <c r="F1109" s="1271"/>
      <c r="G1109" s="1271"/>
      <c r="H1109" s="1271"/>
      <c r="I1109" s="1271"/>
      <c r="J1109" s="1271"/>
      <c r="K1109" s="1271"/>
      <c r="L1109" s="1271"/>
      <c r="M1109" s="1271"/>
      <c r="N1109" s="1271"/>
      <c r="O1109" s="1271"/>
      <c r="P1109" s="1271"/>
      <c r="Q1109" s="1271"/>
      <c r="R1109" s="1271"/>
      <c r="S1109" s="1271"/>
      <c r="T1109" s="1271"/>
      <c r="U1109" s="1271"/>
      <c r="V1109" s="1271"/>
      <c r="W1109" s="1271"/>
      <c r="X1109" s="1271"/>
      <c r="Y1109" s="1271"/>
      <c r="Z1109" s="1271"/>
      <c r="AA1109" s="1271"/>
      <c r="AB1109" s="1271"/>
      <c r="AC1109" s="1271"/>
      <c r="AD1109" s="1271"/>
      <c r="AE1109" s="1271"/>
      <c r="AF1109" s="1271"/>
      <c r="AG1109" s="1271"/>
      <c r="AH1109" s="1271"/>
      <c r="AI1109" s="1271"/>
      <c r="AJ1109" s="1271"/>
      <c r="AK1109" s="1271"/>
      <c r="AL1109" s="1271"/>
      <c r="AM1109" s="1271"/>
      <c r="AN1109" s="1271"/>
      <c r="AO1109" s="1271"/>
      <c r="AP1109" s="1271"/>
      <c r="AQ1109" s="1271"/>
      <c r="AR1109" s="1271"/>
    </row>
    <row r="1110" spans="1:44" ht="12.95" customHeight="1">
      <c r="A1110" s="1"/>
      <c r="B1110" s="1"/>
      <c r="C1110" s="199"/>
      <c r="D1110" s="1154"/>
      <c r="E1110" s="1271"/>
      <c r="F1110" s="1271"/>
      <c r="G1110" s="1271"/>
      <c r="H1110" s="1271"/>
      <c r="I1110" s="1271"/>
      <c r="J1110" s="1271"/>
      <c r="K1110" s="1271"/>
      <c r="L1110" s="1271"/>
      <c r="M1110" s="1271"/>
      <c r="N1110" s="1271"/>
      <c r="O1110" s="1271"/>
      <c r="P1110" s="1271"/>
      <c r="Q1110" s="1271"/>
      <c r="R1110" s="1271"/>
      <c r="S1110" s="1271"/>
      <c r="T1110" s="1271"/>
      <c r="U1110" s="1271"/>
      <c r="V1110" s="1271"/>
      <c r="W1110" s="1271"/>
      <c r="X1110" s="1271"/>
      <c r="Y1110" s="1271"/>
      <c r="Z1110" s="1271"/>
      <c r="AA1110" s="1271"/>
      <c r="AB1110" s="1271"/>
      <c r="AC1110" s="1271"/>
      <c r="AD1110" s="1271"/>
      <c r="AE1110" s="1271"/>
      <c r="AF1110" s="1271"/>
      <c r="AG1110" s="1271"/>
      <c r="AH1110" s="1271"/>
      <c r="AI1110" s="1271"/>
      <c r="AJ1110" s="1271"/>
      <c r="AK1110" s="1271"/>
      <c r="AL1110" s="1271"/>
      <c r="AM1110" s="1271"/>
      <c r="AN1110" s="1271"/>
      <c r="AO1110" s="1271"/>
      <c r="AP1110" s="1271"/>
      <c r="AQ1110" s="1271"/>
      <c r="AR1110" s="1271"/>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269" t="s">
        <v>590</v>
      </c>
      <c r="B1112" s="1269"/>
      <c r="C1112" s="1270">
        <v>11</v>
      </c>
      <c r="D1112" s="1270"/>
      <c r="E1112" s="1271" t="s">
        <v>2192</v>
      </c>
      <c r="F1112" s="1271"/>
      <c r="G1112" s="1271"/>
      <c r="H1112" s="1271"/>
      <c r="I1112" s="1271"/>
      <c r="J1112" s="1271"/>
      <c r="K1112" s="1271"/>
      <c r="L1112" s="1271"/>
      <c r="M1112" s="1271"/>
      <c r="N1112" s="1271"/>
      <c r="O1112" s="1271"/>
      <c r="P1112" s="1271"/>
      <c r="Q1112" s="1271"/>
      <c r="R1112" s="1271"/>
      <c r="S1112" s="1271"/>
      <c r="T1112" s="1271"/>
      <c r="U1112" s="1271"/>
      <c r="V1112" s="1271"/>
      <c r="W1112" s="1271"/>
      <c r="X1112" s="1271"/>
      <c r="Y1112" s="1271"/>
      <c r="Z1112" s="1271"/>
      <c r="AA1112" s="1271"/>
      <c r="AB1112" s="1271"/>
      <c r="AC1112" s="1271"/>
      <c r="AD1112" s="1271"/>
      <c r="AE1112" s="1271"/>
      <c r="AF1112" s="1271"/>
      <c r="AG1112" s="1271"/>
      <c r="AH1112" s="1271"/>
      <c r="AI1112" s="1271"/>
      <c r="AJ1112" s="1271"/>
      <c r="AK1112" s="1271"/>
      <c r="AL1112" s="1271"/>
      <c r="AM1112" s="1271"/>
      <c r="AN1112" s="1271"/>
      <c r="AO1112" s="1271"/>
      <c r="AP1112" s="1271"/>
      <c r="AQ1112" s="1271"/>
      <c r="AR1112" s="1271"/>
    </row>
    <row r="1113" spans="1:44" ht="12.95" customHeight="1">
      <c r="A1113" s="1"/>
      <c r="B1113" s="1"/>
      <c r="C1113" s="199"/>
      <c r="D1113" s="1154"/>
      <c r="E1113" s="1271"/>
      <c r="F1113" s="1271"/>
      <c r="G1113" s="1271"/>
      <c r="H1113" s="1271"/>
      <c r="I1113" s="1271"/>
      <c r="J1113" s="1271"/>
      <c r="K1113" s="1271"/>
      <c r="L1113" s="1271"/>
      <c r="M1113" s="1271"/>
      <c r="N1113" s="1271"/>
      <c r="O1113" s="1271"/>
      <c r="P1113" s="1271"/>
      <c r="Q1113" s="1271"/>
      <c r="R1113" s="1271"/>
      <c r="S1113" s="1271"/>
      <c r="T1113" s="1271"/>
      <c r="U1113" s="1271"/>
      <c r="V1113" s="1271"/>
      <c r="W1113" s="1271"/>
      <c r="X1113" s="1271"/>
      <c r="Y1113" s="1271"/>
      <c r="Z1113" s="1271"/>
      <c r="AA1113" s="1271"/>
      <c r="AB1113" s="1271"/>
      <c r="AC1113" s="1271"/>
      <c r="AD1113" s="1271"/>
      <c r="AE1113" s="1271"/>
      <c r="AF1113" s="1271"/>
      <c r="AG1113" s="1271"/>
      <c r="AH1113" s="1271"/>
      <c r="AI1113" s="1271"/>
      <c r="AJ1113" s="1271"/>
      <c r="AK1113" s="1271"/>
      <c r="AL1113" s="1271"/>
      <c r="AM1113" s="1271"/>
      <c r="AN1113" s="1271"/>
      <c r="AO1113" s="1271"/>
      <c r="AP1113" s="1271"/>
      <c r="AQ1113" s="1271"/>
      <c r="AR1113" s="1271"/>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269" t="s">
        <v>590</v>
      </c>
      <c r="B1134" s="1269"/>
      <c r="C1134" s="199">
        <v>9</v>
      </c>
      <c r="D1134" s="1422" t="s">
        <v>1073</v>
      </c>
      <c r="E1134" s="1422"/>
      <c r="F1134" s="1422"/>
      <c r="G1134" s="1422"/>
      <c r="H1134" s="1422"/>
      <c r="I1134" s="1422"/>
      <c r="J1134" s="1422"/>
      <c r="K1134" s="1422"/>
      <c r="L1134" s="1422"/>
      <c r="M1134" s="1422"/>
      <c r="N1134" s="1422"/>
      <c r="O1134" s="1422"/>
      <c r="P1134" s="1422"/>
      <c r="Q1134" s="1422"/>
      <c r="R1134" s="1422"/>
      <c r="S1134" s="1422"/>
      <c r="T1134" s="1422"/>
      <c r="U1134" s="1422"/>
      <c r="V1134" s="1422"/>
      <c r="W1134" s="1422"/>
      <c r="X1134" s="1422"/>
      <c r="Y1134" s="1422"/>
      <c r="Z1134" s="1422"/>
      <c r="AA1134" s="1422"/>
      <c r="AB1134" s="1422"/>
      <c r="AC1134" s="1422"/>
      <c r="AD1134" s="1422"/>
      <c r="AE1134" s="1422"/>
      <c r="AF1134" s="1422"/>
      <c r="AG1134" s="1422"/>
      <c r="AH1134" s="1422"/>
      <c r="AI1134" s="1422"/>
      <c r="AJ1134" s="1422"/>
      <c r="AK1134" s="1422"/>
    </row>
    <row r="1135" spans="1:37" ht="0" hidden="1" customHeight="1">
      <c r="A1135" s="35"/>
      <c r="B1135" s="25"/>
      <c r="C1135" s="199"/>
      <c r="D1135" s="1422"/>
      <c r="E1135" s="1422"/>
      <c r="F1135" s="1422"/>
      <c r="G1135" s="1422"/>
      <c r="H1135" s="1422"/>
      <c r="I1135" s="1422"/>
      <c r="J1135" s="1422"/>
      <c r="K1135" s="1422"/>
      <c r="L1135" s="1422"/>
      <c r="M1135" s="1422"/>
      <c r="N1135" s="1422"/>
      <c r="O1135" s="1422"/>
      <c r="P1135" s="1422"/>
      <c r="Q1135" s="1422"/>
      <c r="R1135" s="1422"/>
      <c r="S1135" s="1422"/>
      <c r="T1135" s="1422"/>
      <c r="U1135" s="1422"/>
      <c r="V1135" s="1422"/>
      <c r="W1135" s="1422"/>
      <c r="X1135" s="1422"/>
      <c r="Y1135" s="1422"/>
      <c r="Z1135" s="1422"/>
      <c r="AA1135" s="1422"/>
      <c r="AB1135" s="1422"/>
      <c r="AC1135" s="1422"/>
      <c r="AD1135" s="1422"/>
      <c r="AE1135" s="1422"/>
      <c r="AF1135" s="1422"/>
      <c r="AG1135" s="1422"/>
      <c r="AH1135" s="1422"/>
      <c r="AI1135" s="1422"/>
      <c r="AJ1135" s="1422"/>
      <c r="AK1135" s="1422"/>
    </row>
    <row r="1136" spans="1:37" ht="0" hidden="1" customHeight="1">
      <c r="D1136" s="1422"/>
      <c r="E1136" s="1422"/>
      <c r="F1136" s="1422"/>
      <c r="G1136" s="1422"/>
      <c r="H1136" s="1422"/>
      <c r="I1136" s="1422"/>
      <c r="J1136" s="1422"/>
      <c r="K1136" s="1422"/>
      <c r="L1136" s="1422"/>
      <c r="M1136" s="1422"/>
      <c r="N1136" s="1422"/>
      <c r="O1136" s="1422"/>
      <c r="P1136" s="1422"/>
      <c r="Q1136" s="1422"/>
      <c r="R1136" s="1422"/>
      <c r="S1136" s="1422"/>
      <c r="T1136" s="1422"/>
      <c r="U1136" s="1422"/>
      <c r="V1136" s="1422"/>
      <c r="W1136" s="1422"/>
      <c r="X1136" s="1422"/>
      <c r="Y1136" s="1422"/>
      <c r="Z1136" s="1422"/>
      <c r="AA1136" s="1422"/>
      <c r="AB1136" s="1422"/>
      <c r="AC1136" s="1422"/>
      <c r="AD1136" s="1422"/>
      <c r="AE1136" s="1422"/>
      <c r="AF1136" s="1422"/>
      <c r="AG1136" s="1422"/>
      <c r="AH1136" s="1422"/>
      <c r="AI1136" s="1422"/>
      <c r="AJ1136" s="1422"/>
      <c r="AK1136" s="1422"/>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797:ES797"/>
    <mergeCell ref="EO798:ES798"/>
    <mergeCell ref="EJ797:EN797"/>
    <mergeCell ref="EJ798:EN798"/>
    <mergeCell ref="EJ799:EN799"/>
    <mergeCell ref="EJ800:EN800"/>
    <mergeCell ref="EJ801:EN801"/>
    <mergeCell ref="EJ802:EN802"/>
    <mergeCell ref="EJ803:EN803"/>
    <mergeCell ref="EJ804:EN804"/>
    <mergeCell ref="EJ805:EN805"/>
    <mergeCell ref="DZ804:ED804"/>
    <mergeCell ref="DZ805:ED805"/>
    <mergeCell ref="EE796:EI796"/>
    <mergeCell ref="EE797:EI797"/>
    <mergeCell ref="EE798:EI798"/>
    <mergeCell ref="EE799:EI799"/>
    <mergeCell ref="EE800:EI800"/>
    <mergeCell ref="EE801:EI801"/>
    <mergeCell ref="EE802:EI802"/>
    <mergeCell ref="EE803:EI803"/>
    <mergeCell ref="EE804:EI804"/>
    <mergeCell ref="EE805:EI805"/>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EO800:ES800"/>
    <mergeCell ref="EO801:ES801"/>
    <mergeCell ref="DO801:DS801"/>
    <mergeCell ref="DO802:DS802"/>
    <mergeCell ref="DO803:DS803"/>
    <mergeCell ref="DO804:DS804"/>
    <mergeCell ref="DO805:DS805"/>
    <mergeCell ref="EO795:ES795"/>
    <mergeCell ref="EE795:EI795"/>
    <mergeCell ref="EO802:ES802"/>
    <mergeCell ref="DU801:DY801"/>
    <mergeCell ref="DU802:DY802"/>
    <mergeCell ref="DU803:DY803"/>
    <mergeCell ref="EO804:ES804"/>
    <mergeCell ref="DU805:DY805"/>
    <mergeCell ref="EJ796:EN796"/>
    <mergeCell ref="EO796:ES796"/>
    <mergeCell ref="CP803:CT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CU783:CY783"/>
    <mergeCell ref="DE784:DI784"/>
    <mergeCell ref="DJ799:DN799"/>
    <mergeCell ref="DJ801:DN801"/>
    <mergeCell ref="DJ800:DN800"/>
    <mergeCell ref="DO795:DS795"/>
    <mergeCell ref="DE802:DI802"/>
    <mergeCell ref="DE799:DI799"/>
    <mergeCell ref="DE797:DI797"/>
    <mergeCell ref="CU784:CY784"/>
    <mergeCell ref="DO782:DS782"/>
    <mergeCell ref="CZ783:DD783"/>
    <mergeCell ref="CU781:CY781"/>
    <mergeCell ref="DE805:DI805"/>
    <mergeCell ref="DJ795:DN795"/>
    <mergeCell ref="DJ796:DN796"/>
    <mergeCell ref="DJ797:DN797"/>
    <mergeCell ref="DJ798:DN798"/>
    <mergeCell ref="DJ802:DN802"/>
    <mergeCell ref="DJ803:DN803"/>
    <mergeCell ref="DJ804:DN804"/>
    <mergeCell ref="DJ805:DN805"/>
    <mergeCell ref="DE795:DI795"/>
    <mergeCell ref="DE796:DI796"/>
    <mergeCell ref="DE798:DI798"/>
    <mergeCell ref="CZ803:DD803"/>
    <mergeCell ref="CZ785:DD785"/>
    <mergeCell ref="DE785:DI785"/>
    <mergeCell ref="DE783:DI783"/>
    <mergeCell ref="DJ785:DN785"/>
    <mergeCell ref="CZ782:DD782"/>
    <mergeCell ref="CZ781:DD781"/>
    <mergeCell ref="DJ784:DN784"/>
    <mergeCell ref="DO784:DS784"/>
    <mergeCell ref="DO785:DS785"/>
    <mergeCell ref="DO783:DS783"/>
    <mergeCell ref="CK758:CL758"/>
    <mergeCell ref="CM758:CN758"/>
    <mergeCell ref="CP753:CT753"/>
    <mergeCell ref="CM752:CN752"/>
    <mergeCell ref="DE804:DI804"/>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U744:DY744"/>
    <mergeCell ref="DZ753:ED753"/>
    <mergeCell ref="DO744:DS744"/>
    <mergeCell ref="ET745:EX745"/>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CG758:CH758"/>
    <mergeCell ref="CU795:CY795"/>
    <mergeCell ref="CU750:CY750"/>
    <mergeCell ref="CI751:CJ751"/>
    <mergeCell ref="CK751:CL751"/>
    <mergeCell ref="CG746:CH746"/>
    <mergeCell ref="CK747:CL747"/>
    <mergeCell ref="CG756:CH756"/>
    <mergeCell ref="CM744:CN744"/>
    <mergeCell ref="CZ745:DD745"/>
    <mergeCell ref="ET749:EX749"/>
    <mergeCell ref="DU750:DY750"/>
    <mergeCell ref="FJ751:FN751"/>
    <mergeCell ref="ET752:EX752"/>
    <mergeCell ref="DO748:DS748"/>
    <mergeCell ref="CG754:CH754"/>
    <mergeCell ref="CI754:CJ754"/>
    <mergeCell ref="CG744:CH744"/>
    <mergeCell ref="CK744:CL744"/>
    <mergeCell ref="EO749:ES749"/>
    <mergeCell ref="CP750:CT750"/>
    <mergeCell ref="CP751:CT751"/>
    <mergeCell ref="DO753:DS753"/>
    <mergeCell ref="CU756:CY756"/>
    <mergeCell ref="CZ750:DD750"/>
    <mergeCell ref="CI747:CJ747"/>
    <mergeCell ref="CG745:CH745"/>
    <mergeCell ref="CZ744:DD744"/>
    <mergeCell ref="DE750:DI750"/>
    <mergeCell ref="FE751:FI751"/>
    <mergeCell ref="CG750:CH750"/>
    <mergeCell ref="EE749:EI749"/>
    <mergeCell ref="EJ749:EN749"/>
    <mergeCell ref="EJ754:EN754"/>
    <mergeCell ref="EO754:ES754"/>
    <mergeCell ref="ET754:EX754"/>
    <mergeCell ref="DZ746:ED746"/>
    <mergeCell ref="EJ751:EN751"/>
    <mergeCell ref="EO751:ES751"/>
    <mergeCell ref="FY761:GC761"/>
    <mergeCell ref="FT754:FX754"/>
    <mergeCell ref="FT758:FX758"/>
    <mergeCell ref="FY758:GC758"/>
    <mergeCell ref="EO759:ES759"/>
    <mergeCell ref="FT760:FX760"/>
    <mergeCell ref="EZ759:FD759"/>
    <mergeCell ref="FE753:FI753"/>
    <mergeCell ref="FJ753:FN753"/>
    <mergeCell ref="FO753:FS753"/>
    <mergeCell ref="FT753:FX753"/>
    <mergeCell ref="FE760:FI760"/>
    <mergeCell ref="FJ761:FN761"/>
    <mergeCell ref="FO758:FS758"/>
    <mergeCell ref="DJ752:DN752"/>
    <mergeCell ref="FE761:FI761"/>
    <mergeCell ref="EE758:EI758"/>
    <mergeCell ref="EJ758:EN758"/>
    <mergeCell ref="EO758:ES758"/>
    <mergeCell ref="FO761:FS761"/>
    <mergeCell ref="FE756:FI756"/>
    <mergeCell ref="FJ756:FN756"/>
    <mergeCell ref="FO756:FS756"/>
    <mergeCell ref="EZ753:FD753"/>
    <mergeCell ref="EO755:ES755"/>
    <mergeCell ref="ET755:EX755"/>
    <mergeCell ref="DU756:DY756"/>
    <mergeCell ref="DZ756:ED756"/>
    <mergeCell ref="EE756:EI756"/>
    <mergeCell ref="EJ756:EN756"/>
    <mergeCell ref="EO756:ES756"/>
    <mergeCell ref="FY760:GC760"/>
    <mergeCell ref="ET756:EX756"/>
    <mergeCell ref="CU754:CY754"/>
    <mergeCell ref="EZ758:FD758"/>
    <mergeCell ref="FE758:FI758"/>
    <mergeCell ref="FJ758:FN758"/>
    <mergeCell ref="DX666:EB666"/>
    <mergeCell ref="EC666:EG666"/>
    <mergeCell ref="EH666:EL666"/>
    <mergeCell ref="EM666:EQ666"/>
    <mergeCell ref="ET757:EX757"/>
    <mergeCell ref="ET758:EX758"/>
    <mergeCell ref="EZ756:FD756"/>
    <mergeCell ref="FY751:GC751"/>
    <mergeCell ref="EZ752:FD752"/>
    <mergeCell ref="FY757:GC757"/>
    <mergeCell ref="FE754:FI754"/>
    <mergeCell ref="FE752:FI752"/>
    <mergeCell ref="FJ752:FN752"/>
    <mergeCell ref="FO751:FS751"/>
    <mergeCell ref="FY754:GC754"/>
    <mergeCell ref="FT757:FX757"/>
    <mergeCell ref="EZ754:FD754"/>
    <mergeCell ref="ET748:EX748"/>
    <mergeCell ref="EJ748:EN748"/>
    <mergeCell ref="ET750:EX750"/>
    <mergeCell ref="FE750:FI750"/>
    <mergeCell ref="FJ750:FN750"/>
    <mergeCell ref="FJ755:FN755"/>
    <mergeCell ref="FY756:GC756"/>
    <mergeCell ref="FT752:FX752"/>
    <mergeCell ref="FY752:GC752"/>
    <mergeCell ref="DU751:DY751"/>
    <mergeCell ref="ET731:EX731"/>
    <mergeCell ref="ET737:EX737"/>
    <mergeCell ref="EZ760:FD760"/>
    <mergeCell ref="EE747:EI747"/>
    <mergeCell ref="EE760:EI760"/>
    <mergeCell ref="EO760:ES760"/>
    <mergeCell ref="EJ760:EN760"/>
    <mergeCell ref="EZ750:FD750"/>
    <mergeCell ref="ET747:EX747"/>
    <mergeCell ref="FO752:FS752"/>
    <mergeCell ref="FT761:FX761"/>
    <mergeCell ref="CU755:CY755"/>
    <mergeCell ref="ER646:EV646"/>
    <mergeCell ref="EC643:EG643"/>
    <mergeCell ref="EH643:EL643"/>
    <mergeCell ref="EM643:EQ643"/>
    <mergeCell ref="ER643:EV643"/>
    <mergeCell ref="EW643:FA643"/>
    <mergeCell ref="ET761:EX761"/>
    <mergeCell ref="DO761:DS761"/>
    <mergeCell ref="EJ761:EN761"/>
    <mergeCell ref="EO761:ES761"/>
    <mergeCell ref="CU751:CY751"/>
    <mergeCell ref="CU758:CY758"/>
    <mergeCell ref="DJ751:DN751"/>
    <mergeCell ref="DJ753:DN753"/>
    <mergeCell ref="CZ751:DD751"/>
    <mergeCell ref="CU753:CY753"/>
    <mergeCell ref="EZ761:FD761"/>
    <mergeCell ref="DJ758:DN758"/>
    <mergeCell ref="DU761:DY761"/>
    <mergeCell ref="DZ758:ED758"/>
    <mergeCell ref="EW644:FA644"/>
    <mergeCell ref="AK739:AO739"/>
    <mergeCell ref="EO747:ES747"/>
    <mergeCell ref="DE740:DI740"/>
    <mergeCell ref="CU730:CY730"/>
    <mergeCell ref="CZ730:DD730"/>
    <mergeCell ref="CZ732:DD732"/>
    <mergeCell ref="CZ733:DD733"/>
    <mergeCell ref="CZ743:DD743"/>
    <mergeCell ref="CU742:CY742"/>
    <mergeCell ref="CZ735:DD735"/>
    <mergeCell ref="DZ737:ED737"/>
    <mergeCell ref="EO737:ES737"/>
    <mergeCell ref="DE738:DI738"/>
    <mergeCell ref="DZ738:ED738"/>
    <mergeCell ref="EE738:EI738"/>
    <mergeCell ref="EJ738:EN738"/>
    <mergeCell ref="DJ737:DN737"/>
    <mergeCell ref="DJ736:DN736"/>
    <mergeCell ref="CZ738:DD738"/>
    <mergeCell ref="CU737:CY737"/>
    <mergeCell ref="DE733:DI733"/>
    <mergeCell ref="CZ742:DD742"/>
    <mergeCell ref="EE730:EI730"/>
    <mergeCell ref="DZ736:ED736"/>
    <mergeCell ref="EE732:EI732"/>
    <mergeCell ref="EO742:ES742"/>
    <mergeCell ref="EO744:ES744"/>
    <mergeCell ref="CZ740:DD740"/>
    <mergeCell ref="DO738:DS738"/>
    <mergeCell ref="DJ738:DN738"/>
    <mergeCell ref="DU746:DY746"/>
    <mergeCell ref="AM562:AS562"/>
    <mergeCell ref="AO647:AS647"/>
    <mergeCell ref="ET746:EX746"/>
    <mergeCell ref="CP744:CT744"/>
    <mergeCell ref="CK749:CL749"/>
    <mergeCell ref="CM749:CN749"/>
    <mergeCell ref="CP749:CT749"/>
    <mergeCell ref="CG747:CH747"/>
    <mergeCell ref="CP737:CT737"/>
    <mergeCell ref="CZ739:DD739"/>
    <mergeCell ref="DE743:DI743"/>
    <mergeCell ref="DE745:DI745"/>
    <mergeCell ref="CI748:CJ748"/>
    <mergeCell ref="AO639:AS639"/>
    <mergeCell ref="ER666:EV666"/>
    <mergeCell ref="CG742:CH742"/>
    <mergeCell ref="CI735:CJ735"/>
    <mergeCell ref="CI744:CJ744"/>
    <mergeCell ref="CI737:CJ737"/>
    <mergeCell ref="CG740:CH740"/>
    <mergeCell ref="CI740:CJ740"/>
    <mergeCell ref="CI738:CJ738"/>
    <mergeCell ref="CG730:CH730"/>
    <mergeCell ref="CM742:CN742"/>
    <mergeCell ref="CP742:CT742"/>
    <mergeCell ref="CP725:CT725"/>
    <mergeCell ref="CP731:CT731"/>
    <mergeCell ref="CU738:CY738"/>
    <mergeCell ref="CM739:CN739"/>
    <mergeCell ref="CP728:CT728"/>
    <mergeCell ref="CU728:CY728"/>
    <mergeCell ref="ER644:EV644"/>
    <mergeCell ref="CG736:CH736"/>
    <mergeCell ref="AK747:AO747"/>
    <mergeCell ref="B732:F732"/>
    <mergeCell ref="B737:F737"/>
    <mergeCell ref="Z593:AK593"/>
    <mergeCell ref="X722:AB725"/>
    <mergeCell ref="AH508:AK508"/>
    <mergeCell ref="DX643:EB643"/>
    <mergeCell ref="DX646:EB646"/>
    <mergeCell ref="EC646:EG646"/>
    <mergeCell ref="EH646:EL646"/>
    <mergeCell ref="EM646:EQ646"/>
    <mergeCell ref="T567:V567"/>
    <mergeCell ref="AE564:AH564"/>
    <mergeCell ref="AE567:AH567"/>
    <mergeCell ref="AM563:AS563"/>
    <mergeCell ref="ER645:EV645"/>
    <mergeCell ref="EM667:EQ667"/>
    <mergeCell ref="N599:O599"/>
    <mergeCell ref="M559:P561"/>
    <mergeCell ref="H581:R581"/>
    <mergeCell ref="Q565:S565"/>
    <mergeCell ref="W569:Y569"/>
    <mergeCell ref="AC547:AF547"/>
    <mergeCell ref="L516:AB516"/>
    <mergeCell ref="AI565:AL565"/>
    <mergeCell ref="G580:L580"/>
    <mergeCell ref="C570:L570"/>
    <mergeCell ref="AH531:AK531"/>
    <mergeCell ref="Z609:AK609"/>
    <mergeCell ref="Q632:S634"/>
    <mergeCell ref="AC548:AF548"/>
    <mergeCell ref="B497:P498"/>
    <mergeCell ref="W477:Y477"/>
    <mergeCell ref="CM750:CN750"/>
    <mergeCell ref="CK742:CL742"/>
    <mergeCell ref="AI663:AK663"/>
    <mergeCell ref="CM745:CN745"/>
    <mergeCell ref="CU745:CY745"/>
    <mergeCell ref="CZ746:DD746"/>
    <mergeCell ref="CI746:CJ746"/>
    <mergeCell ref="CZ754:DD754"/>
    <mergeCell ref="CM753:CN753"/>
    <mergeCell ref="CK745:CL745"/>
    <mergeCell ref="AC744:AG744"/>
    <mergeCell ref="AE703:AI703"/>
    <mergeCell ref="AG681:AH681"/>
    <mergeCell ref="G693:R693"/>
    <mergeCell ref="CZ741:DD741"/>
    <mergeCell ref="CM743:CN743"/>
    <mergeCell ref="CK741:CL741"/>
    <mergeCell ref="CZ725:DD725"/>
    <mergeCell ref="CI730:CJ730"/>
    <mergeCell ref="CG729:CH729"/>
    <mergeCell ref="CK728:CL728"/>
    <mergeCell ref="CG739:CH739"/>
    <mergeCell ref="CP730:CT730"/>
    <mergeCell ref="CP726:CT726"/>
    <mergeCell ref="CI726:CJ726"/>
    <mergeCell ref="CI732:CJ732"/>
    <mergeCell ref="CM730:CN730"/>
    <mergeCell ref="CG737:CH737"/>
    <mergeCell ref="CU741:CY741"/>
    <mergeCell ref="CG738:CH738"/>
    <mergeCell ref="M568:P568"/>
    <mergeCell ref="AH530:AK530"/>
    <mergeCell ref="AD421:AE421"/>
    <mergeCell ref="H423:AE424"/>
    <mergeCell ref="AC518:AF518"/>
    <mergeCell ref="AH510:AK510"/>
    <mergeCell ref="AC507:AK507"/>
    <mergeCell ref="D458:AF458"/>
    <mergeCell ref="Q562:S562"/>
    <mergeCell ref="AM559:AS561"/>
    <mergeCell ref="AG450:AJ450"/>
    <mergeCell ref="AG448:AJ448"/>
    <mergeCell ref="Z441:AA441"/>
    <mergeCell ref="AF439:AG439"/>
    <mergeCell ref="AG446:AJ446"/>
    <mergeCell ref="S497:AK498"/>
    <mergeCell ref="AH520:AK520"/>
    <mergeCell ref="AG451:AJ451"/>
    <mergeCell ref="AH532:AK532"/>
    <mergeCell ref="Q501:AK501"/>
    <mergeCell ref="W474:Y474"/>
    <mergeCell ref="Q493:AK493"/>
    <mergeCell ref="AC533:AF533"/>
    <mergeCell ref="W482:Y482"/>
    <mergeCell ref="D480:V480"/>
    <mergeCell ref="W480:Y480"/>
    <mergeCell ref="AE559:AH561"/>
    <mergeCell ref="C562:L562"/>
    <mergeCell ref="O540:AA540"/>
    <mergeCell ref="B559:L561"/>
    <mergeCell ref="B511:H516"/>
    <mergeCell ref="AC550:AF550"/>
    <mergeCell ref="W565:Y565"/>
    <mergeCell ref="Q571:S571"/>
    <mergeCell ref="E429:AJ429"/>
    <mergeCell ref="B509:H510"/>
    <mergeCell ref="Q559:S561"/>
    <mergeCell ref="Z570:AD570"/>
    <mergeCell ref="AG458:AJ458"/>
    <mergeCell ref="B574:AL574"/>
    <mergeCell ref="AE568:AH568"/>
    <mergeCell ref="N583:O583"/>
    <mergeCell ref="Z559:AD561"/>
    <mergeCell ref="AG459:AJ459"/>
    <mergeCell ref="D475:V475"/>
    <mergeCell ref="Q568:S568"/>
    <mergeCell ref="W475:Y475"/>
    <mergeCell ref="W478:Y478"/>
    <mergeCell ref="C566:L566"/>
    <mergeCell ref="Q438:R438"/>
    <mergeCell ref="AE562:AH562"/>
    <mergeCell ref="AC544:AF544"/>
    <mergeCell ref="Z567:AD567"/>
    <mergeCell ref="B522:H524"/>
    <mergeCell ref="AC514:AF514"/>
    <mergeCell ref="Q497:R498"/>
    <mergeCell ref="Q496:AK496"/>
    <mergeCell ref="AH543:AK543"/>
    <mergeCell ref="AC540:AF540"/>
    <mergeCell ref="AC539:AF539"/>
    <mergeCell ref="O531:AA531"/>
    <mergeCell ref="AH548:AK548"/>
    <mergeCell ref="AC523:AF523"/>
    <mergeCell ref="AE569:AH569"/>
    <mergeCell ref="CI741:CJ741"/>
    <mergeCell ref="CM740:CN740"/>
    <mergeCell ref="CK740:CL740"/>
    <mergeCell ref="CI739:CJ739"/>
    <mergeCell ref="CI736:CJ736"/>
    <mergeCell ref="CI757:CJ757"/>
    <mergeCell ref="AO637:AS637"/>
    <mergeCell ref="AO646:AS646"/>
    <mergeCell ref="AC527:AF527"/>
    <mergeCell ref="Z641:AB641"/>
    <mergeCell ref="M643:P643"/>
    <mergeCell ref="G654:R654"/>
    <mergeCell ref="Z660:AK660"/>
    <mergeCell ref="Z655:AE655"/>
    <mergeCell ref="M644:P644"/>
    <mergeCell ref="AM565:AS565"/>
    <mergeCell ref="AK642:AN642"/>
    <mergeCell ref="AK643:AN643"/>
    <mergeCell ref="C567:L567"/>
    <mergeCell ref="H696:R696"/>
    <mergeCell ref="AC534:AF534"/>
    <mergeCell ref="Q569:S569"/>
    <mergeCell ref="C563:L563"/>
    <mergeCell ref="Z563:AD563"/>
    <mergeCell ref="O543:AA543"/>
    <mergeCell ref="G651:R651"/>
    <mergeCell ref="Z691:AK691"/>
    <mergeCell ref="Z663:AE663"/>
    <mergeCell ref="AI559:AL561"/>
    <mergeCell ref="Z577:AK577"/>
    <mergeCell ref="AC546:AF546"/>
    <mergeCell ref="Z562:AD562"/>
    <mergeCell ref="H688:R688"/>
    <mergeCell ref="AI671:AK671"/>
    <mergeCell ref="W562:Y562"/>
    <mergeCell ref="W563:Y563"/>
    <mergeCell ref="AH544:AK544"/>
    <mergeCell ref="AC543:AF543"/>
    <mergeCell ref="CM757:CN757"/>
    <mergeCell ref="CG755:CH755"/>
    <mergeCell ref="CI755:CJ755"/>
    <mergeCell ref="CK755:CL755"/>
    <mergeCell ref="CM755:CN755"/>
    <mergeCell ref="CG741:CH741"/>
    <mergeCell ref="CI742:CJ742"/>
    <mergeCell ref="CI727:CJ727"/>
    <mergeCell ref="CM747:CN747"/>
    <mergeCell ref="CI745:CJ745"/>
    <mergeCell ref="CK746:CL746"/>
    <mergeCell ref="CM746:CN746"/>
    <mergeCell ref="X735:AB735"/>
    <mergeCell ref="CK756:CL756"/>
    <mergeCell ref="CM756:CN756"/>
    <mergeCell ref="CG757:CH757"/>
    <mergeCell ref="CM751:CN751"/>
    <mergeCell ref="CI749:CJ749"/>
    <mergeCell ref="AK751:AO751"/>
    <mergeCell ref="AK752:AO752"/>
    <mergeCell ref="X727:AB727"/>
    <mergeCell ref="CG733:CH733"/>
    <mergeCell ref="CK736:CL736"/>
    <mergeCell ref="CG731:CH731"/>
    <mergeCell ref="CG728:CH728"/>
    <mergeCell ref="CI733:CJ733"/>
    <mergeCell ref="CK757:CL757"/>
    <mergeCell ref="Z671:AE671"/>
    <mergeCell ref="Z651:AK651"/>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X751:AB751"/>
    <mergeCell ref="X752:AB752"/>
    <mergeCell ref="AC753:AG753"/>
    <mergeCell ref="AC754:AG754"/>
    <mergeCell ref="T729:W729"/>
    <mergeCell ref="AK754:AO754"/>
    <mergeCell ref="AC727:AG727"/>
    <mergeCell ref="AC728:AG728"/>
    <mergeCell ref="AI562:AL562"/>
    <mergeCell ref="CI750:CJ750"/>
    <mergeCell ref="CK750:CL750"/>
    <mergeCell ref="CK752:CL752"/>
    <mergeCell ref="AF643:AJ643"/>
    <mergeCell ref="AC642:AE642"/>
    <mergeCell ref="AK757:AO757"/>
    <mergeCell ref="T740:W740"/>
    <mergeCell ref="I427:K427"/>
    <mergeCell ref="D479:V479"/>
    <mergeCell ref="AC509:AF509"/>
    <mergeCell ref="AC525:AF525"/>
    <mergeCell ref="AH533:AK533"/>
    <mergeCell ref="AG455:AJ455"/>
    <mergeCell ref="D456:AF456"/>
    <mergeCell ref="D455:AF455"/>
    <mergeCell ref="AH511:AK511"/>
    <mergeCell ref="AC508:AF508"/>
    <mergeCell ref="AH540:AK540"/>
    <mergeCell ref="AC530:AF530"/>
    <mergeCell ref="T562:V562"/>
    <mergeCell ref="AC532:AF532"/>
    <mergeCell ref="AH513:AK513"/>
    <mergeCell ref="O537:AA537"/>
    <mergeCell ref="B525:H527"/>
    <mergeCell ref="AH514:AK514"/>
    <mergeCell ref="AH516:AK516"/>
    <mergeCell ref="AC516:AF516"/>
    <mergeCell ref="O528:AA528"/>
    <mergeCell ref="AH526:AK526"/>
    <mergeCell ref="AH518:AK518"/>
    <mergeCell ref="AH521:AK521"/>
    <mergeCell ref="AH523:AK523"/>
    <mergeCell ref="AH515:AK515"/>
    <mergeCell ref="AC517:AF517"/>
    <mergeCell ref="AC524:AF524"/>
    <mergeCell ref="AC465:AF465"/>
    <mergeCell ref="AC521:AF521"/>
    <mergeCell ref="AC522:AF522"/>
    <mergeCell ref="M503:P503"/>
    <mergeCell ref="W481:Y481"/>
    <mergeCell ref="AC529:AF529"/>
    <mergeCell ref="AH524:AK524"/>
    <mergeCell ref="AG452:AJ452"/>
    <mergeCell ref="AG453:AJ453"/>
    <mergeCell ref="AC541:AF541"/>
    <mergeCell ref="AC510:AF510"/>
    <mergeCell ref="AH541:AK541"/>
    <mergeCell ref="D449:AF449"/>
    <mergeCell ref="AH517:AK517"/>
    <mergeCell ref="AC537:AF537"/>
    <mergeCell ref="AH538:AK538"/>
    <mergeCell ref="D476:V476"/>
    <mergeCell ref="AC520:AF520"/>
    <mergeCell ref="AC464:AF464"/>
    <mergeCell ref="D474:V474"/>
    <mergeCell ref="Q499:AK499"/>
    <mergeCell ref="AC513:AF513"/>
    <mergeCell ref="AC511:AF511"/>
    <mergeCell ref="Q500:AK500"/>
    <mergeCell ref="Q502:AK502"/>
    <mergeCell ref="D481:V481"/>
    <mergeCell ref="D478:V478"/>
    <mergeCell ref="D460:AJ461"/>
    <mergeCell ref="AG456:AJ456"/>
    <mergeCell ref="AC463:AF463"/>
    <mergeCell ref="AH512:AK512"/>
    <mergeCell ref="AC512:AF512"/>
    <mergeCell ref="W473:Y473"/>
    <mergeCell ref="AH503:AK503"/>
    <mergeCell ref="AH539:AK539"/>
    <mergeCell ref="O534:AA534"/>
    <mergeCell ref="S386:T386"/>
    <mergeCell ref="Y373:Z373"/>
    <mergeCell ref="P357:Z357"/>
    <mergeCell ref="AJ366:AK366"/>
    <mergeCell ref="J394:U394"/>
    <mergeCell ref="AE411:AJ411"/>
    <mergeCell ref="D450:AF450"/>
    <mergeCell ref="C564:L564"/>
    <mergeCell ref="M564:P564"/>
    <mergeCell ref="D448:AF448"/>
    <mergeCell ref="D415:AJ416"/>
    <mergeCell ref="D454:AF454"/>
    <mergeCell ref="I430:K430"/>
    <mergeCell ref="AH522:AK522"/>
    <mergeCell ref="AC515:AF515"/>
    <mergeCell ref="Q495:AK495"/>
    <mergeCell ref="D457:AF457"/>
    <mergeCell ref="AG454:AJ454"/>
    <mergeCell ref="D451:AF451"/>
    <mergeCell ref="Q494:AK494"/>
    <mergeCell ref="AE434:AF434"/>
    <mergeCell ref="AC528:AF528"/>
    <mergeCell ref="AC535:AF535"/>
    <mergeCell ref="W427:Y427"/>
    <mergeCell ref="AE433:AF433"/>
    <mergeCell ref="D447:AF447"/>
    <mergeCell ref="E427:G427"/>
    <mergeCell ref="F436:AH437"/>
    <mergeCell ref="D473:V473"/>
    <mergeCell ref="AG447:AJ447"/>
    <mergeCell ref="D446:AF446"/>
    <mergeCell ref="AH536:AK536"/>
    <mergeCell ref="W254:X254"/>
    <mergeCell ref="U256:W256"/>
    <mergeCell ref="M246:AE246"/>
    <mergeCell ref="AA258:AK258"/>
    <mergeCell ref="AF252:AK252"/>
    <mergeCell ref="AC395:AJ395"/>
    <mergeCell ref="K412:AJ412"/>
    <mergeCell ref="P355:AE355"/>
    <mergeCell ref="AG399:AJ399"/>
    <mergeCell ref="Q400:U400"/>
    <mergeCell ref="N381:Q381"/>
    <mergeCell ref="N379:Q379"/>
    <mergeCell ref="M365:N365"/>
    <mergeCell ref="M364:N364"/>
    <mergeCell ref="AI406:AJ406"/>
    <mergeCell ref="Q399:U399"/>
    <mergeCell ref="M260:AE260"/>
    <mergeCell ref="M247:T247"/>
    <mergeCell ref="AA297:AK297"/>
    <mergeCell ref="H296:R296"/>
    <mergeCell ref="M266:T266"/>
    <mergeCell ref="M265:AE265"/>
    <mergeCell ref="AA317:AF317"/>
    <mergeCell ref="W262:X262"/>
    <mergeCell ref="M261:AE261"/>
    <mergeCell ref="AC262:AE262"/>
    <mergeCell ref="X279:AC279"/>
    <mergeCell ref="AF260:AK260"/>
    <mergeCell ref="M253:AE253"/>
    <mergeCell ref="M256:R256"/>
    <mergeCell ref="T287:V287"/>
    <mergeCell ref="AG404:AJ404"/>
    <mergeCell ref="AA296:AK296"/>
    <mergeCell ref="P205:U205"/>
    <mergeCell ref="O156:AH156"/>
    <mergeCell ref="O157:X157"/>
    <mergeCell ref="T189:AE189"/>
    <mergeCell ref="M243:T243"/>
    <mergeCell ref="W243:X243"/>
    <mergeCell ref="Z264:AE264"/>
    <mergeCell ref="AH196:AI196"/>
    <mergeCell ref="U176:V176"/>
    <mergeCell ref="I185:AE185"/>
    <mergeCell ref="T195:U195"/>
    <mergeCell ref="E187:AE188"/>
    <mergeCell ref="X180:Y180"/>
    <mergeCell ref="M269:AE269"/>
    <mergeCell ref="AA274:AK274"/>
    <mergeCell ref="AH271:AK271"/>
    <mergeCell ref="M248:AE248"/>
    <mergeCell ref="M242:AE242"/>
    <mergeCell ref="N191:AE192"/>
    <mergeCell ref="D211:M211"/>
    <mergeCell ref="AI237:AJ237"/>
    <mergeCell ref="V229:W229"/>
    <mergeCell ref="T212:U212"/>
    <mergeCell ref="X176:Y176"/>
    <mergeCell ref="U175:V175"/>
    <mergeCell ref="U245:W245"/>
    <mergeCell ref="R177:S177"/>
    <mergeCell ref="D204:M204"/>
    <mergeCell ref="M258:T258"/>
    <mergeCell ref="T199:U199"/>
    <mergeCell ref="Z256:AE256"/>
    <mergeCell ref="AH197:AI197"/>
    <mergeCell ref="Z205:AN205"/>
    <mergeCell ref="A231:AT232"/>
    <mergeCell ref="T200:U200"/>
    <mergeCell ref="X198:AT199"/>
    <mergeCell ref="AH194:AI194"/>
    <mergeCell ref="AC220:AQ220"/>
    <mergeCell ref="D205:M205"/>
    <mergeCell ref="F150:T150"/>
    <mergeCell ref="AF178:AG178"/>
    <mergeCell ref="I190:N190"/>
    <mergeCell ref="AI235:AJ235"/>
    <mergeCell ref="J173:S173"/>
    <mergeCell ref="O155:AH155"/>
    <mergeCell ref="V224:W224"/>
    <mergeCell ref="V226:W226"/>
    <mergeCell ref="V227:W227"/>
    <mergeCell ref="O159:T159"/>
    <mergeCell ref="AP205:AQ205"/>
    <mergeCell ref="V228:W228"/>
    <mergeCell ref="AI238:AJ238"/>
    <mergeCell ref="A75:AT77"/>
    <mergeCell ref="A79:AT81"/>
    <mergeCell ref="AB215:AL215"/>
    <mergeCell ref="T198:U198"/>
    <mergeCell ref="Q212:R212"/>
    <mergeCell ref="D214:Z214"/>
    <mergeCell ref="AB216:AL216"/>
    <mergeCell ref="AA266:AK266"/>
    <mergeCell ref="AH255:AK255"/>
    <mergeCell ref="M257:AE257"/>
    <mergeCell ref="AC254:AE254"/>
    <mergeCell ref="U264:W264"/>
    <mergeCell ref="AH263:AK263"/>
    <mergeCell ref="M264:R264"/>
    <mergeCell ref="AA247:AK247"/>
    <mergeCell ref="M245:R245"/>
    <mergeCell ref="Z245:AE245"/>
    <mergeCell ref="G113:H113"/>
    <mergeCell ref="C115:K115"/>
    <mergeCell ref="O161:AH161"/>
    <mergeCell ref="D164:AH164"/>
    <mergeCell ref="P204:U204"/>
    <mergeCell ref="AH195:AI195"/>
    <mergeCell ref="A83:AT84"/>
    <mergeCell ref="AC243:AE243"/>
    <mergeCell ref="D208:M208"/>
    <mergeCell ref="J174:AB174"/>
    <mergeCell ref="V225:W225"/>
    <mergeCell ref="AI178:AK178"/>
    <mergeCell ref="P113:S113"/>
    <mergeCell ref="I189:P189"/>
    <mergeCell ref="M254:T254"/>
    <mergeCell ref="M255:AE255"/>
    <mergeCell ref="L284:AD284"/>
    <mergeCell ref="M270:T270"/>
    <mergeCell ref="Y120:AK120"/>
    <mergeCell ref="O160:T160"/>
    <mergeCell ref="O153:AH153"/>
    <mergeCell ref="O154:AH154"/>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T196:U196"/>
    <mergeCell ref="D220:Z220"/>
    <mergeCell ref="T193:AI193"/>
    <mergeCell ref="AI236:AJ236"/>
    <mergeCell ref="Y123:AK123"/>
    <mergeCell ref="M252:AE252"/>
    <mergeCell ref="W270:X270"/>
    <mergeCell ref="U272:W272"/>
    <mergeCell ref="M268:AE268"/>
    <mergeCell ref="M244:AE244"/>
    <mergeCell ref="T197:U197"/>
    <mergeCell ref="AA328:AK328"/>
    <mergeCell ref="AA300:AF300"/>
    <mergeCell ref="AI300:AK300"/>
    <mergeCell ref="AA332:AF332"/>
    <mergeCell ref="H329:R329"/>
    <mergeCell ref="H305:R305"/>
    <mergeCell ref="H332:M332"/>
    <mergeCell ref="L285:S285"/>
    <mergeCell ref="L287:Q287"/>
    <mergeCell ref="AA298:AK298"/>
    <mergeCell ref="H316:M316"/>
    <mergeCell ref="H328:R328"/>
    <mergeCell ref="AA325:AF325"/>
    <mergeCell ref="AA306:AK306"/>
    <mergeCell ref="H297:R297"/>
    <mergeCell ref="H330:R330"/>
    <mergeCell ref="AA331:AK331"/>
    <mergeCell ref="H301:M301"/>
    <mergeCell ref="H299:R299"/>
    <mergeCell ref="V285:W285"/>
    <mergeCell ref="AA318:AK318"/>
    <mergeCell ref="P316:R316"/>
    <mergeCell ref="H314:R314"/>
    <mergeCell ref="P308:R308"/>
    <mergeCell ref="H302:R302"/>
    <mergeCell ref="Y287:AD287"/>
    <mergeCell ref="AA304:AK304"/>
    <mergeCell ref="H298:R298"/>
    <mergeCell ref="H300:M300"/>
    <mergeCell ref="H308:M308"/>
    <mergeCell ref="L288:AD288"/>
    <mergeCell ref="AA307:AK307"/>
    <mergeCell ref="AF268:AK268"/>
    <mergeCell ref="AC270:AE270"/>
    <mergeCell ref="M271:AE271"/>
    <mergeCell ref="M262:T262"/>
    <mergeCell ref="H321:R321"/>
    <mergeCell ref="AA309:AF309"/>
    <mergeCell ref="H318:R318"/>
    <mergeCell ref="M263:AE263"/>
    <mergeCell ref="AA299:AK299"/>
    <mergeCell ref="AA323:AK323"/>
    <mergeCell ref="AA322:AK322"/>
    <mergeCell ref="L283:AJ283"/>
    <mergeCell ref="AA301:AF301"/>
    <mergeCell ref="M272:R272"/>
    <mergeCell ref="M274:T274"/>
    <mergeCell ref="H307:R307"/>
    <mergeCell ref="H309:M309"/>
    <mergeCell ref="M273:AE273"/>
    <mergeCell ref="AB285:AD285"/>
    <mergeCell ref="AA310:AK310"/>
    <mergeCell ref="AA305:AK305"/>
    <mergeCell ref="H310:R310"/>
    <mergeCell ref="L286:AD286"/>
    <mergeCell ref="Z272:AE272"/>
    <mergeCell ref="A291:AT292"/>
    <mergeCell ref="AA316:AF316"/>
    <mergeCell ref="AA314:AK314"/>
    <mergeCell ref="T276:X276"/>
    <mergeCell ref="L289:AD289"/>
    <mergeCell ref="AA312:AK312"/>
    <mergeCell ref="D279:H279"/>
    <mergeCell ref="P300:R300"/>
    <mergeCell ref="H324:M324"/>
    <mergeCell ref="H304:R304"/>
    <mergeCell ref="AA302:AK302"/>
    <mergeCell ref="AC356:AE356"/>
    <mergeCell ref="H331:R331"/>
    <mergeCell ref="H337:R337"/>
    <mergeCell ref="AI332:AK332"/>
    <mergeCell ref="AA338:AK338"/>
    <mergeCell ref="AA330:AK330"/>
    <mergeCell ref="H334:R334"/>
    <mergeCell ref="AI308:AK308"/>
    <mergeCell ref="H306:R306"/>
    <mergeCell ref="H322:R322"/>
    <mergeCell ref="AI316:AK316"/>
    <mergeCell ref="H313:R313"/>
    <mergeCell ref="H312:R312"/>
    <mergeCell ref="H336:R336"/>
    <mergeCell ref="H315:R315"/>
    <mergeCell ref="AA313:AK313"/>
    <mergeCell ref="H323:R323"/>
    <mergeCell ref="H325:M325"/>
    <mergeCell ref="AA334:AK334"/>
    <mergeCell ref="AA333:AF333"/>
    <mergeCell ref="P352:AE352"/>
    <mergeCell ref="AA349:AF349"/>
    <mergeCell ref="AA308:AF308"/>
    <mergeCell ref="AA320:AK320"/>
    <mergeCell ref="AA315:AK315"/>
    <mergeCell ref="AI324:AK324"/>
    <mergeCell ref="AA321:AK321"/>
    <mergeCell ref="H320:R320"/>
    <mergeCell ref="H317:M317"/>
    <mergeCell ref="P324:R324"/>
    <mergeCell ref="N372:O372"/>
    <mergeCell ref="W476:Y476"/>
    <mergeCell ref="D459:AF459"/>
    <mergeCell ref="AA329:AK329"/>
    <mergeCell ref="H326:R326"/>
    <mergeCell ref="P332:R332"/>
    <mergeCell ref="AA324:AF324"/>
    <mergeCell ref="P358:AE358"/>
    <mergeCell ref="AA326:AK326"/>
    <mergeCell ref="AA347:AK347"/>
    <mergeCell ref="H346:R346"/>
    <mergeCell ref="P354:AE354"/>
    <mergeCell ref="R421:S421"/>
    <mergeCell ref="H345:R345"/>
    <mergeCell ref="P356:Z356"/>
    <mergeCell ref="AC380:AF380"/>
    <mergeCell ref="AC379:AF379"/>
    <mergeCell ref="AA340:AF340"/>
    <mergeCell ref="AA341:AF341"/>
    <mergeCell ref="J395:U395"/>
    <mergeCell ref="T407:AJ407"/>
    <mergeCell ref="AG449:AJ449"/>
    <mergeCell ref="S410:U410"/>
    <mergeCell ref="AA339:AK339"/>
    <mergeCell ref="H333:M333"/>
    <mergeCell ref="AA337:AK337"/>
    <mergeCell ref="AA336:AK336"/>
    <mergeCell ref="H341:M341"/>
    <mergeCell ref="H347:R347"/>
    <mergeCell ref="H349:M349"/>
    <mergeCell ref="AJ365:AK365"/>
    <mergeCell ref="S422:T422"/>
    <mergeCell ref="AA345:AK345"/>
    <mergeCell ref="AD386:AE386"/>
    <mergeCell ref="D453:AF453"/>
    <mergeCell ref="R420:S420"/>
    <mergeCell ref="P433:Q433"/>
    <mergeCell ref="AG403:AJ403"/>
    <mergeCell ref="J397:U397"/>
    <mergeCell ref="P427:R427"/>
    <mergeCell ref="AI398:AJ398"/>
    <mergeCell ref="AG457:AJ457"/>
    <mergeCell ref="P353:AE353"/>
    <mergeCell ref="M367:N367"/>
    <mergeCell ref="Q402:U402"/>
    <mergeCell ref="AG389:AH389"/>
    <mergeCell ref="AF427:AH427"/>
    <mergeCell ref="P430:R430"/>
    <mergeCell ref="Q398:U398"/>
    <mergeCell ref="V386:W386"/>
    <mergeCell ref="N380:Q380"/>
    <mergeCell ref="AD420:AE420"/>
    <mergeCell ref="J396:U396"/>
    <mergeCell ref="N387:P387"/>
    <mergeCell ref="I419:AE419"/>
    <mergeCell ref="AI401:AJ401"/>
    <mergeCell ref="Q403:U403"/>
    <mergeCell ref="AG388:AH388"/>
    <mergeCell ref="S401:U401"/>
    <mergeCell ref="AG410:AJ410"/>
    <mergeCell ref="V390:W390"/>
    <mergeCell ref="AG402:AJ402"/>
    <mergeCell ref="Q374:AG374"/>
    <mergeCell ref="H338:R338"/>
    <mergeCell ref="H339:R339"/>
    <mergeCell ref="P340:R340"/>
    <mergeCell ref="T568:V568"/>
    <mergeCell ref="Z564:AD564"/>
    <mergeCell ref="AI563:AL563"/>
    <mergeCell ref="AG400:AJ400"/>
    <mergeCell ref="K413:AJ413"/>
    <mergeCell ref="Z443:AA443"/>
    <mergeCell ref="H340:M340"/>
    <mergeCell ref="H350:R350"/>
    <mergeCell ref="H344:R344"/>
    <mergeCell ref="AA342:AK342"/>
    <mergeCell ref="H348:M348"/>
    <mergeCell ref="D477:V477"/>
    <mergeCell ref="AH535:AK535"/>
    <mergeCell ref="AC396:AJ396"/>
    <mergeCell ref="V397:AJ397"/>
    <mergeCell ref="D452:AF452"/>
    <mergeCell ref="V391:W391"/>
    <mergeCell ref="J376:K376"/>
    <mergeCell ref="S414:AJ414"/>
    <mergeCell ref="AC394:AJ394"/>
    <mergeCell ref="S411:U411"/>
    <mergeCell ref="N382:AF383"/>
    <mergeCell ref="AJ364:AK364"/>
    <mergeCell ref="AG386:AH386"/>
    <mergeCell ref="C568:L568"/>
    <mergeCell ref="Z568:AD568"/>
    <mergeCell ref="P348:R348"/>
    <mergeCell ref="AA350:AK350"/>
    <mergeCell ref="E377:AH378"/>
    <mergeCell ref="H342:R342"/>
    <mergeCell ref="AC745:AG745"/>
    <mergeCell ref="AA344:AK344"/>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T738:W738"/>
    <mergeCell ref="G577:R577"/>
    <mergeCell ref="H590:R590"/>
    <mergeCell ref="Z587:AK587"/>
    <mergeCell ref="AA346:AK346"/>
    <mergeCell ref="T408:AJ408"/>
    <mergeCell ref="AI348:AK348"/>
    <mergeCell ref="G694:R694"/>
    <mergeCell ref="AG697:AH697"/>
    <mergeCell ref="G729:J729"/>
    <mergeCell ref="AE710:AF710"/>
    <mergeCell ref="AA348:AF348"/>
    <mergeCell ref="X740:AB740"/>
    <mergeCell ref="P434:Q434"/>
    <mergeCell ref="T749:W749"/>
    <mergeCell ref="O741:S741"/>
    <mergeCell ref="AK753:AO753"/>
    <mergeCell ref="AH747:AJ747"/>
    <mergeCell ref="B756:F756"/>
    <mergeCell ref="B750:F750"/>
    <mergeCell ref="B751:F751"/>
    <mergeCell ref="AH750:AJ750"/>
    <mergeCell ref="B749:F749"/>
    <mergeCell ref="AK744:AO744"/>
    <mergeCell ref="O742:S742"/>
    <mergeCell ref="AC742:AG742"/>
    <mergeCell ref="AC743:AG743"/>
    <mergeCell ref="AK740:AO740"/>
    <mergeCell ref="AK741:AO741"/>
    <mergeCell ref="AK742:AO742"/>
    <mergeCell ref="AK743:AO743"/>
    <mergeCell ref="T746:W746"/>
    <mergeCell ref="AH741:AJ741"/>
    <mergeCell ref="X744:AB744"/>
    <mergeCell ref="B741:F741"/>
    <mergeCell ref="X743:AB743"/>
    <mergeCell ref="B746:F746"/>
    <mergeCell ref="AH746:AJ746"/>
    <mergeCell ref="AH744:AJ744"/>
    <mergeCell ref="AH748:AJ748"/>
    <mergeCell ref="K744:N744"/>
    <mergeCell ref="B736:F736"/>
    <mergeCell ref="AK733:AO733"/>
    <mergeCell ref="AK734:AO734"/>
    <mergeCell ref="AH751:AJ751"/>
    <mergeCell ref="X746:AB746"/>
    <mergeCell ref="X737:AB737"/>
    <mergeCell ref="K742:N742"/>
    <mergeCell ref="T745:W745"/>
    <mergeCell ref="T741:W741"/>
    <mergeCell ref="O737:S737"/>
    <mergeCell ref="AH737:AJ737"/>
    <mergeCell ref="O738:S738"/>
    <mergeCell ref="AH738:AJ738"/>
    <mergeCell ref="K735:N735"/>
    <mergeCell ref="T742:W742"/>
    <mergeCell ref="K739:N739"/>
    <mergeCell ref="X736:AB736"/>
    <mergeCell ref="AK750:AO750"/>
    <mergeCell ref="T736:W736"/>
    <mergeCell ref="K741:N741"/>
    <mergeCell ref="AK737:AO737"/>
    <mergeCell ref="T743:W743"/>
    <mergeCell ref="O750:S750"/>
    <mergeCell ref="AC748:AG748"/>
    <mergeCell ref="AC749:AG749"/>
    <mergeCell ref="K740:N740"/>
    <mergeCell ref="O745:S745"/>
    <mergeCell ref="T750:W750"/>
    <mergeCell ref="AK736:AO736"/>
    <mergeCell ref="K734:N734"/>
    <mergeCell ref="AH743:AJ743"/>
    <mergeCell ref="X750:AB750"/>
    <mergeCell ref="AC895:AH895"/>
    <mergeCell ref="W859:AC859"/>
    <mergeCell ref="W863:AC863"/>
    <mergeCell ref="AH735:AJ735"/>
    <mergeCell ref="O731:S731"/>
    <mergeCell ref="O726:S726"/>
    <mergeCell ref="O722:S725"/>
    <mergeCell ref="P695:R695"/>
    <mergeCell ref="R713:T713"/>
    <mergeCell ref="T726:W726"/>
    <mergeCell ref="AC729:AG729"/>
    <mergeCell ref="K722:N725"/>
    <mergeCell ref="T731:W731"/>
    <mergeCell ref="B734:F734"/>
    <mergeCell ref="O729:S729"/>
    <mergeCell ref="K730:N730"/>
    <mergeCell ref="T733:W733"/>
    <mergeCell ref="T734:W734"/>
    <mergeCell ref="O736:S736"/>
    <mergeCell ref="K733:N733"/>
    <mergeCell ref="B733:F733"/>
    <mergeCell ref="K732:N732"/>
    <mergeCell ref="X733:AB733"/>
    <mergeCell ref="K727:N727"/>
    <mergeCell ref="T722:W725"/>
    <mergeCell ref="G695:L695"/>
    <mergeCell ref="G728:J728"/>
    <mergeCell ref="K728:N728"/>
    <mergeCell ref="O727:S727"/>
    <mergeCell ref="AH728:AJ728"/>
    <mergeCell ref="X732:AB732"/>
    <mergeCell ref="G732:J732"/>
    <mergeCell ref="B748:F748"/>
    <mergeCell ref="AK758:AO758"/>
    <mergeCell ref="AC758:AG758"/>
    <mergeCell ref="AK735:AO735"/>
    <mergeCell ref="X728:AB728"/>
    <mergeCell ref="AH732:AJ732"/>
    <mergeCell ref="AH730:AJ730"/>
    <mergeCell ref="T727:W727"/>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AC901:AH901"/>
    <mergeCell ref="M869:V869"/>
    <mergeCell ref="T866:V866"/>
    <mergeCell ref="T868:V868"/>
    <mergeCell ref="W880:AC880"/>
    <mergeCell ref="W862:AC862"/>
    <mergeCell ref="W883:AC883"/>
    <mergeCell ref="M886:V886"/>
    <mergeCell ref="W865:AC865"/>
    <mergeCell ref="BD908:BE908"/>
    <mergeCell ref="BD910:BE910"/>
    <mergeCell ref="O783:S783"/>
    <mergeCell ref="T758:W758"/>
    <mergeCell ref="G755:J755"/>
    <mergeCell ref="W885:AC885"/>
    <mergeCell ref="M883:V883"/>
    <mergeCell ref="W884:AC884"/>
    <mergeCell ref="BD913:BE913"/>
    <mergeCell ref="BD915:BF915"/>
    <mergeCell ref="BD914:BF914"/>
    <mergeCell ref="B759:F759"/>
    <mergeCell ref="J795:N795"/>
    <mergeCell ref="X748:AB748"/>
    <mergeCell ref="B762:AH763"/>
    <mergeCell ref="X782:AB782"/>
    <mergeCell ref="T781:W781"/>
    <mergeCell ref="AC801:AG801"/>
    <mergeCell ref="X783:AB783"/>
    <mergeCell ref="X784:AB784"/>
    <mergeCell ref="J796:N796"/>
    <mergeCell ref="J801:N801"/>
    <mergeCell ref="X801:AB801"/>
    <mergeCell ref="O761:S761"/>
    <mergeCell ref="AC750:AG750"/>
    <mergeCell ref="AK760:AO760"/>
    <mergeCell ref="AK755:AO755"/>
    <mergeCell ref="AH749:AJ749"/>
    <mergeCell ref="O756:S756"/>
    <mergeCell ref="AC755:AG755"/>
    <mergeCell ref="AK759:AO759"/>
    <mergeCell ref="X753:AB753"/>
    <mergeCell ref="AK748:AO748"/>
    <mergeCell ref="AK749:AO749"/>
    <mergeCell ref="AH759:AJ759"/>
    <mergeCell ref="K754:N754"/>
    <mergeCell ref="X781:AB781"/>
    <mergeCell ref="J783:N783"/>
    <mergeCell ref="AC784:AG784"/>
    <mergeCell ref="O791:S794"/>
    <mergeCell ref="O759:S759"/>
    <mergeCell ref="G734:J734"/>
    <mergeCell ref="G749:J749"/>
    <mergeCell ref="O801:S801"/>
    <mergeCell ref="Y809:AC809"/>
    <mergeCell ref="O782:S782"/>
    <mergeCell ref="O802:S802"/>
    <mergeCell ref="X777:AB780"/>
    <mergeCell ref="G735:J735"/>
    <mergeCell ref="G738:J738"/>
    <mergeCell ref="O734:S734"/>
    <mergeCell ref="AC736:AG736"/>
    <mergeCell ref="AC738:AG738"/>
    <mergeCell ref="AC737:AG737"/>
    <mergeCell ref="K747:N747"/>
    <mergeCell ref="X747:AB747"/>
    <mergeCell ref="AC740:AG740"/>
    <mergeCell ref="O739:S739"/>
    <mergeCell ref="T739:W739"/>
    <mergeCell ref="O740:S740"/>
    <mergeCell ref="K737:N737"/>
    <mergeCell ref="K758:N758"/>
    <mergeCell ref="X757:AB757"/>
    <mergeCell ref="J791:N794"/>
    <mergeCell ref="T798:W798"/>
    <mergeCell ref="T801:W801"/>
    <mergeCell ref="X756:AB756"/>
    <mergeCell ref="Z823:AE823"/>
    <mergeCell ref="U839:X839"/>
    <mergeCell ref="Q839:T839"/>
    <mergeCell ref="AG839:AJ839"/>
    <mergeCell ref="Z822:AE822"/>
    <mergeCell ref="B739:F739"/>
    <mergeCell ref="X741:AB741"/>
    <mergeCell ref="G740:J740"/>
    <mergeCell ref="X742:AB742"/>
    <mergeCell ref="O747:S747"/>
    <mergeCell ref="O744:S744"/>
    <mergeCell ref="K746:N746"/>
    <mergeCell ref="B760:F760"/>
    <mergeCell ref="O754:S754"/>
    <mergeCell ref="O751:S751"/>
    <mergeCell ref="T751:W751"/>
    <mergeCell ref="AH752:AJ752"/>
    <mergeCell ref="AC800:AG800"/>
    <mergeCell ref="O795:S795"/>
    <mergeCell ref="O748:S748"/>
    <mergeCell ref="AC757:AG757"/>
    <mergeCell ref="K757:N757"/>
    <mergeCell ref="G748:J748"/>
    <mergeCell ref="AC798:AG798"/>
    <mergeCell ref="X797:AB797"/>
    <mergeCell ref="T799:W799"/>
    <mergeCell ref="J777:N780"/>
    <mergeCell ref="AG764:AJ764"/>
    <mergeCell ref="X785:AB785"/>
    <mergeCell ref="AC759:AG759"/>
    <mergeCell ref="AH760:AJ760"/>
    <mergeCell ref="B740:F740"/>
    <mergeCell ref="G739:J739"/>
    <mergeCell ref="G744:J744"/>
    <mergeCell ref="K738:N738"/>
    <mergeCell ref="K749:N749"/>
    <mergeCell ref="K759:N759"/>
    <mergeCell ref="T802:W802"/>
    <mergeCell ref="T797:W797"/>
    <mergeCell ref="B761:F761"/>
    <mergeCell ref="O760:S760"/>
    <mergeCell ref="T791:W794"/>
    <mergeCell ref="K760:N760"/>
    <mergeCell ref="O796:S796"/>
    <mergeCell ref="P824:Y824"/>
    <mergeCell ref="Z826:AE826"/>
    <mergeCell ref="W855:AC855"/>
    <mergeCell ref="W853:AC853"/>
    <mergeCell ref="M854:V854"/>
    <mergeCell ref="T752:W752"/>
    <mergeCell ref="X798:AB798"/>
    <mergeCell ref="B757:F757"/>
    <mergeCell ref="B758:F758"/>
    <mergeCell ref="Z825:AE825"/>
    <mergeCell ref="Y839:AB839"/>
    <mergeCell ref="AC836:AF836"/>
    <mergeCell ref="Q835:T835"/>
    <mergeCell ref="T755:W755"/>
    <mergeCell ref="X758:AB758"/>
    <mergeCell ref="T754:W754"/>
    <mergeCell ref="K755:N755"/>
    <mergeCell ref="Q833:T833"/>
    <mergeCell ref="AC783:AG783"/>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AG689:AH689"/>
    <mergeCell ref="B755:F755"/>
    <mergeCell ref="O757:S757"/>
    <mergeCell ref="T777:W780"/>
    <mergeCell ref="J781:N781"/>
    <mergeCell ref="O781:S781"/>
    <mergeCell ref="J784:N784"/>
    <mergeCell ref="T782:W782"/>
    <mergeCell ref="AC791:AG794"/>
    <mergeCell ref="T795:W795"/>
    <mergeCell ref="T796:W796"/>
    <mergeCell ref="O785:S785"/>
    <mergeCell ref="X796:AB796"/>
    <mergeCell ref="O805:S805"/>
    <mergeCell ref="O798:S798"/>
    <mergeCell ref="AH736:AJ736"/>
    <mergeCell ref="U837:X837"/>
    <mergeCell ref="CK743:CL743"/>
    <mergeCell ref="G737:J737"/>
    <mergeCell ref="G731:J731"/>
    <mergeCell ref="J804:N804"/>
    <mergeCell ref="J785:N785"/>
    <mergeCell ref="J782:N782"/>
    <mergeCell ref="G743:J743"/>
    <mergeCell ref="T760:W760"/>
    <mergeCell ref="K752:N752"/>
    <mergeCell ref="O752:S752"/>
    <mergeCell ref="O755:S755"/>
    <mergeCell ref="X791:AB794"/>
    <mergeCell ref="X795:AB795"/>
    <mergeCell ref="T783:W783"/>
    <mergeCell ref="C771:AR773"/>
    <mergeCell ref="AC760:AG760"/>
    <mergeCell ref="T757:W757"/>
    <mergeCell ref="Z814:AE814"/>
    <mergeCell ref="O803:S803"/>
    <mergeCell ref="AC799:AG799"/>
    <mergeCell ref="J802:N802"/>
    <mergeCell ref="J797:N797"/>
    <mergeCell ref="X803:AB803"/>
    <mergeCell ref="O800:S800"/>
    <mergeCell ref="J799:N799"/>
    <mergeCell ref="X800:AB800"/>
    <mergeCell ref="T803:W803"/>
    <mergeCell ref="T800:W800"/>
    <mergeCell ref="Y808:AC808"/>
    <mergeCell ref="G761:J761"/>
    <mergeCell ref="AK727:AO727"/>
    <mergeCell ref="N697:O697"/>
    <mergeCell ref="G730:J730"/>
    <mergeCell ref="B726:F726"/>
    <mergeCell ref="CI728:CJ728"/>
    <mergeCell ref="B722:F725"/>
    <mergeCell ref="B729:F729"/>
    <mergeCell ref="B728:F728"/>
    <mergeCell ref="CK734:CL734"/>
    <mergeCell ref="AH739:AJ739"/>
    <mergeCell ref="CK739:CL739"/>
    <mergeCell ref="X799:AB799"/>
    <mergeCell ref="O743:S743"/>
    <mergeCell ref="T737:W737"/>
    <mergeCell ref="AI695:AK695"/>
    <mergeCell ref="T735:W735"/>
    <mergeCell ref="K736:N736"/>
    <mergeCell ref="B735:F735"/>
    <mergeCell ref="B730:F730"/>
    <mergeCell ref="AC722:AG725"/>
    <mergeCell ref="CK730:CL730"/>
    <mergeCell ref="CK727:CL727"/>
    <mergeCell ref="B731:F731"/>
    <mergeCell ref="CK735:CL735"/>
    <mergeCell ref="CG735:CH735"/>
    <mergeCell ref="CI731:CJ731"/>
    <mergeCell ref="AC730:AG730"/>
    <mergeCell ref="AC732:AG732"/>
    <mergeCell ref="CK731:CL731"/>
    <mergeCell ref="AK732:AO732"/>
    <mergeCell ref="AC735:AG735"/>
    <mergeCell ref="AC756:AG756"/>
    <mergeCell ref="CP740:CT740"/>
    <mergeCell ref="CK738:CL738"/>
    <mergeCell ref="CP739:CT739"/>
    <mergeCell ref="CM733:CN733"/>
    <mergeCell ref="CM738:CN738"/>
    <mergeCell ref="CM737:CN737"/>
    <mergeCell ref="CU735:CY735"/>
    <mergeCell ref="CK732:CL732"/>
    <mergeCell ref="CP736:CT736"/>
    <mergeCell ref="CP732:CT732"/>
    <mergeCell ref="CP735:CT735"/>
    <mergeCell ref="CM741:CN741"/>
    <mergeCell ref="CU733:CY733"/>
    <mergeCell ref="CK733:CL733"/>
    <mergeCell ref="K729:N729"/>
    <mergeCell ref="O730:S730"/>
    <mergeCell ref="AC741:AG741"/>
    <mergeCell ref="X738:AB738"/>
    <mergeCell ref="CK737:CL737"/>
    <mergeCell ref="CP738:CT738"/>
    <mergeCell ref="CU739:CY739"/>
    <mergeCell ref="CP734:CT734"/>
    <mergeCell ref="CP733:CT733"/>
    <mergeCell ref="CP741:CT741"/>
    <mergeCell ref="O733:S733"/>
    <mergeCell ref="X730:AB730"/>
    <mergeCell ref="O735:S735"/>
    <mergeCell ref="AH729:AJ729"/>
    <mergeCell ref="AK729:AO729"/>
    <mergeCell ref="T730:W730"/>
    <mergeCell ref="T732:W732"/>
    <mergeCell ref="X729:AB729"/>
    <mergeCell ref="AK726:AO726"/>
    <mergeCell ref="G659:R659"/>
    <mergeCell ref="G663:L663"/>
    <mergeCell ref="H664:R664"/>
    <mergeCell ref="G722:J725"/>
    <mergeCell ref="G676:R676"/>
    <mergeCell ref="G675:R675"/>
    <mergeCell ref="Z670:AK670"/>
    <mergeCell ref="G691:R691"/>
    <mergeCell ref="Z687:AE687"/>
    <mergeCell ref="AG665:AH665"/>
    <mergeCell ref="Z692:AK692"/>
    <mergeCell ref="N681:O681"/>
    <mergeCell ref="P671:R671"/>
    <mergeCell ref="C642:L642"/>
    <mergeCell ref="AO643:AS643"/>
    <mergeCell ref="Q646:S646"/>
    <mergeCell ref="AK646:AN646"/>
    <mergeCell ref="G685:R685"/>
    <mergeCell ref="Z686:AK686"/>
    <mergeCell ref="G687:L687"/>
    <mergeCell ref="T643:V643"/>
    <mergeCell ref="N689:O689"/>
    <mergeCell ref="T642:V642"/>
    <mergeCell ref="H672:R672"/>
    <mergeCell ref="G686:R686"/>
    <mergeCell ref="P687:R687"/>
    <mergeCell ref="Z678:AK678"/>
    <mergeCell ref="P663:R663"/>
    <mergeCell ref="H656:R656"/>
    <mergeCell ref="G655:L655"/>
    <mergeCell ref="G683:R683"/>
    <mergeCell ref="W637:Y637"/>
    <mergeCell ref="AA606:AK606"/>
    <mergeCell ref="C636:L636"/>
    <mergeCell ref="Z618:AK618"/>
    <mergeCell ref="Z640:AB640"/>
    <mergeCell ref="M638:P638"/>
    <mergeCell ref="M639:P639"/>
    <mergeCell ref="Q640:S640"/>
    <mergeCell ref="C635:L635"/>
    <mergeCell ref="AF638:AJ638"/>
    <mergeCell ref="AC637:AE637"/>
    <mergeCell ref="M632:P634"/>
    <mergeCell ref="M637:P637"/>
    <mergeCell ref="Q638:S638"/>
    <mergeCell ref="Q573:S573"/>
    <mergeCell ref="AI580:AK580"/>
    <mergeCell ref="T572:V572"/>
    <mergeCell ref="Z573:AD573"/>
    <mergeCell ref="AG583:AH583"/>
    <mergeCell ref="Z578:AK578"/>
    <mergeCell ref="AI573:AL573"/>
    <mergeCell ref="T573:V573"/>
    <mergeCell ref="G609:R609"/>
    <mergeCell ref="AA581:AK581"/>
    <mergeCell ref="AG607:AH607"/>
    <mergeCell ref="G603:R603"/>
    <mergeCell ref="G604:R604"/>
    <mergeCell ref="G576:R576"/>
    <mergeCell ref="Z595:AK595"/>
    <mergeCell ref="AE570:AH570"/>
    <mergeCell ref="Z569:AD569"/>
    <mergeCell ref="Q566:S566"/>
    <mergeCell ref="M565:P565"/>
    <mergeCell ref="B528:H550"/>
    <mergeCell ref="Q563:S563"/>
    <mergeCell ref="M563:P563"/>
    <mergeCell ref="AH528:AK528"/>
    <mergeCell ref="T571:V571"/>
    <mergeCell ref="Z572:AD572"/>
    <mergeCell ref="M566:P566"/>
    <mergeCell ref="AI566:AL566"/>
    <mergeCell ref="AH529:AK529"/>
    <mergeCell ref="AC538:AF538"/>
    <mergeCell ref="AC549:AF549"/>
    <mergeCell ref="T566:V566"/>
    <mergeCell ref="Q567:S567"/>
    <mergeCell ref="AI570:AL570"/>
    <mergeCell ref="T563:V563"/>
    <mergeCell ref="W567:Y567"/>
    <mergeCell ref="Z566:AD566"/>
    <mergeCell ref="M570:P570"/>
    <mergeCell ref="W570:Y570"/>
    <mergeCell ref="AI571:AL571"/>
    <mergeCell ref="Z571:AD571"/>
    <mergeCell ref="AH545:AK545"/>
    <mergeCell ref="AC542:AF542"/>
    <mergeCell ref="AH550:AK550"/>
    <mergeCell ref="Q570:S570"/>
    <mergeCell ref="AH546:AK546"/>
    <mergeCell ref="AC545:AF545"/>
    <mergeCell ref="Z565:AD565"/>
    <mergeCell ref="Z576:AK576"/>
    <mergeCell ref="M567:P567"/>
    <mergeCell ref="Z579:AK579"/>
    <mergeCell ref="AI572:AL572"/>
    <mergeCell ref="T569:V569"/>
    <mergeCell ref="Q564:S564"/>
    <mergeCell ref="M562:P562"/>
    <mergeCell ref="T646:V646"/>
    <mergeCell ref="T636:V636"/>
    <mergeCell ref="DJ727:DN727"/>
    <mergeCell ref="CU725:CY725"/>
    <mergeCell ref="AC643:AE643"/>
    <mergeCell ref="W643:Y643"/>
    <mergeCell ref="Z605:AE605"/>
    <mergeCell ref="AF637:AJ637"/>
    <mergeCell ref="AC644:AE644"/>
    <mergeCell ref="H606:R606"/>
    <mergeCell ref="AG591:AH591"/>
    <mergeCell ref="G596:R596"/>
    <mergeCell ref="Z588:AK588"/>
    <mergeCell ref="Z603:AK603"/>
    <mergeCell ref="G611:R611"/>
    <mergeCell ref="P605:R605"/>
    <mergeCell ref="AO640:AS640"/>
    <mergeCell ref="AK632:AN634"/>
    <mergeCell ref="AC639:AE639"/>
    <mergeCell ref="Z644:AB644"/>
    <mergeCell ref="Z645:AB645"/>
    <mergeCell ref="Z646:AB646"/>
    <mergeCell ref="AG657:AH657"/>
    <mergeCell ref="AO648:AS648"/>
    <mergeCell ref="W644:Y644"/>
    <mergeCell ref="AO645:AS645"/>
    <mergeCell ref="G593:R593"/>
    <mergeCell ref="Z652:AK652"/>
    <mergeCell ref="AO644:AS644"/>
    <mergeCell ref="T637:V637"/>
    <mergeCell ref="N657:O657"/>
    <mergeCell ref="Q642:S642"/>
    <mergeCell ref="AK644:AN644"/>
    <mergeCell ref="C645:L645"/>
    <mergeCell ref="C643:L643"/>
    <mergeCell ref="AK639:AN639"/>
    <mergeCell ref="T641:V641"/>
    <mergeCell ref="W638:Y638"/>
    <mergeCell ref="AC638:AE638"/>
    <mergeCell ref="AF640:AJ640"/>
    <mergeCell ref="Z632:AB634"/>
    <mergeCell ref="P621:R621"/>
    <mergeCell ref="G652:R652"/>
    <mergeCell ref="AO641:AS641"/>
    <mergeCell ref="AI605:AK605"/>
    <mergeCell ref="A625:AT626"/>
    <mergeCell ref="AG615:AH615"/>
    <mergeCell ref="G602:R602"/>
    <mergeCell ref="Z602:AK602"/>
    <mergeCell ref="Z611:AK611"/>
    <mergeCell ref="G605:L605"/>
    <mergeCell ref="Z621:AE621"/>
    <mergeCell ref="N623:O623"/>
    <mergeCell ref="H622:R622"/>
    <mergeCell ref="AO635:AS635"/>
    <mergeCell ref="T632:V634"/>
    <mergeCell ref="W641:Y641"/>
    <mergeCell ref="Z661:AK661"/>
    <mergeCell ref="Z585:AK585"/>
    <mergeCell ref="M582:R582"/>
    <mergeCell ref="Z586:AK586"/>
    <mergeCell ref="G578:R578"/>
    <mergeCell ref="M571:P571"/>
    <mergeCell ref="G589:L589"/>
    <mergeCell ref="P589:R589"/>
    <mergeCell ref="AA590:AK590"/>
    <mergeCell ref="Q572:S572"/>
    <mergeCell ref="C571:L571"/>
    <mergeCell ref="AE573:AH573"/>
    <mergeCell ref="G595:R595"/>
    <mergeCell ref="G586:R586"/>
    <mergeCell ref="AE572:AH572"/>
    <mergeCell ref="T644:V644"/>
    <mergeCell ref="T645:V645"/>
    <mergeCell ref="Z643:AB643"/>
    <mergeCell ref="G610:R610"/>
    <mergeCell ref="AA598:AK598"/>
    <mergeCell ref="AI597:AK597"/>
    <mergeCell ref="Z596:AK596"/>
    <mergeCell ref="G619:R619"/>
    <mergeCell ref="Z610:AK610"/>
    <mergeCell ref="Z620:AK620"/>
    <mergeCell ref="AC635:AE635"/>
    <mergeCell ref="AC632:AE634"/>
    <mergeCell ref="Z639:AB639"/>
    <mergeCell ref="AF632:AJ634"/>
    <mergeCell ref="AK641:AN641"/>
    <mergeCell ref="Z601:AK601"/>
    <mergeCell ref="W635:Y635"/>
    <mergeCell ref="N615:O615"/>
    <mergeCell ref="Z612:AK612"/>
    <mergeCell ref="M635:P635"/>
    <mergeCell ref="N607:O607"/>
    <mergeCell ref="G613:L613"/>
    <mergeCell ref="H614:R614"/>
    <mergeCell ref="G618:R618"/>
    <mergeCell ref="G621:L621"/>
    <mergeCell ref="AA614:AK614"/>
    <mergeCell ref="AK640:AN640"/>
    <mergeCell ref="Q643:S643"/>
    <mergeCell ref="AF644:AJ644"/>
    <mergeCell ref="AF645:AJ645"/>
    <mergeCell ref="C638:L638"/>
    <mergeCell ref="C639:L639"/>
    <mergeCell ref="M641:P641"/>
    <mergeCell ref="Z642:AB642"/>
    <mergeCell ref="AK637:AN637"/>
    <mergeCell ref="C641:L641"/>
    <mergeCell ref="AK645:AN645"/>
    <mergeCell ref="AF642:AJ642"/>
    <mergeCell ref="T635:V635"/>
    <mergeCell ref="AC640:AE640"/>
    <mergeCell ref="Z638:AB638"/>
    <mergeCell ref="T638:V638"/>
    <mergeCell ref="T639:V639"/>
    <mergeCell ref="AC636:AE636"/>
    <mergeCell ref="C637:L637"/>
    <mergeCell ref="AF636:AJ636"/>
    <mergeCell ref="AK638:AN638"/>
    <mergeCell ref="W632:Y634"/>
    <mergeCell ref="W636:Y636"/>
    <mergeCell ref="DX649:EB649"/>
    <mergeCell ref="Z683:AK683"/>
    <mergeCell ref="Z693:AK693"/>
    <mergeCell ref="G617:R617"/>
    <mergeCell ref="M636:P636"/>
    <mergeCell ref="B649:AN649"/>
    <mergeCell ref="Z617:AK617"/>
    <mergeCell ref="M642:P642"/>
    <mergeCell ref="AO638:AS638"/>
    <mergeCell ref="G660:R660"/>
    <mergeCell ref="AA656:AK656"/>
    <mergeCell ref="G653:R653"/>
    <mergeCell ref="AO642:AS642"/>
    <mergeCell ref="AF646:AJ646"/>
    <mergeCell ref="AC646:AE646"/>
    <mergeCell ref="AC645:AE645"/>
    <mergeCell ref="AG673:AH673"/>
    <mergeCell ref="AA688:AK688"/>
    <mergeCell ref="W645:Y645"/>
    <mergeCell ref="Q639:S639"/>
    <mergeCell ref="T640:V640"/>
    <mergeCell ref="Z619:AK619"/>
    <mergeCell ref="AK635:AN635"/>
    <mergeCell ref="G671:L671"/>
    <mergeCell ref="G670:R670"/>
    <mergeCell ref="G679:L679"/>
    <mergeCell ref="G692:R692"/>
    <mergeCell ref="Z669:AK669"/>
    <mergeCell ref="H680:R680"/>
    <mergeCell ref="Z679:AE679"/>
    <mergeCell ref="Z653:AK653"/>
    <mergeCell ref="Z685:AK685"/>
    <mergeCell ref="N665:O665"/>
    <mergeCell ref="G668:R668"/>
    <mergeCell ref="Z695:AE695"/>
    <mergeCell ref="CZ726:DD726"/>
    <mergeCell ref="CU727:CY727"/>
    <mergeCell ref="W708:AK708"/>
    <mergeCell ref="EH645:EL645"/>
    <mergeCell ref="AF641:AJ641"/>
    <mergeCell ref="DX676:EB676"/>
    <mergeCell ref="EC676:EG676"/>
    <mergeCell ref="DX654:EB654"/>
    <mergeCell ref="EC654:EG654"/>
    <mergeCell ref="DX656:EB656"/>
    <mergeCell ref="DO726:DS726"/>
    <mergeCell ref="AI679:AK679"/>
    <mergeCell ref="Z684:AK684"/>
    <mergeCell ref="DJ726:DN726"/>
    <mergeCell ref="AA672:AK672"/>
    <mergeCell ref="EC650:EG650"/>
    <mergeCell ref="CI725:CJ725"/>
    <mergeCell ref="CM726:CN726"/>
    <mergeCell ref="CG727:CH727"/>
    <mergeCell ref="CU726:CY726"/>
    <mergeCell ref="AH726:AJ726"/>
    <mergeCell ref="AC726:AG726"/>
    <mergeCell ref="X726:AB726"/>
    <mergeCell ref="Z668:AK668"/>
    <mergeCell ref="EC644:EG644"/>
    <mergeCell ref="EH644:EL644"/>
    <mergeCell ref="DX644:EB644"/>
    <mergeCell ref="W711:AK711"/>
    <mergeCell ref="CK726:CL726"/>
    <mergeCell ref="CM731:CN731"/>
    <mergeCell ref="J712:X712"/>
    <mergeCell ref="CM727:CN727"/>
    <mergeCell ref="AH727:AJ727"/>
    <mergeCell ref="CG726:CH726"/>
    <mergeCell ref="CM725:CN725"/>
    <mergeCell ref="CP729:CT729"/>
    <mergeCell ref="AK731:AO731"/>
    <mergeCell ref="Z667:AK667"/>
    <mergeCell ref="AE701:AF701"/>
    <mergeCell ref="Z676:AK676"/>
    <mergeCell ref="AA680:AK680"/>
    <mergeCell ref="AE707:AI707"/>
    <mergeCell ref="AE702:AF702"/>
    <mergeCell ref="CZ729:DD729"/>
    <mergeCell ref="CU731:CY731"/>
    <mergeCell ref="CM732:CN732"/>
    <mergeCell ref="AC731:AG731"/>
    <mergeCell ref="T728:W728"/>
    <mergeCell ref="G677:R677"/>
    <mergeCell ref="CM728:CN728"/>
    <mergeCell ref="AA696:AK696"/>
    <mergeCell ref="Z694:AK694"/>
    <mergeCell ref="AK728:AO728"/>
    <mergeCell ref="J713:O713"/>
    <mergeCell ref="G684:R684"/>
    <mergeCell ref="O728:S728"/>
    <mergeCell ref="Z675:AK675"/>
    <mergeCell ref="AE706:AI706"/>
    <mergeCell ref="A717:AT719"/>
    <mergeCell ref="AI687:AK687"/>
    <mergeCell ref="AK722:AO725"/>
    <mergeCell ref="EH659:EL659"/>
    <mergeCell ref="DO733:DS733"/>
    <mergeCell ref="DU735:DY735"/>
    <mergeCell ref="DE730:DI730"/>
    <mergeCell ref="DJ731:DN731"/>
    <mergeCell ref="CU732:CY732"/>
    <mergeCell ref="EE735:EI735"/>
    <mergeCell ref="DO734:DS734"/>
    <mergeCell ref="DJ732:DN732"/>
    <mergeCell ref="CZ731:DD731"/>
    <mergeCell ref="DJ729:DN729"/>
    <mergeCell ref="DO729:DS729"/>
    <mergeCell ref="DJ733:DN733"/>
    <mergeCell ref="DE727:DI727"/>
    <mergeCell ref="DO727:DS727"/>
    <mergeCell ref="DX670:EB670"/>
    <mergeCell ref="DX665:EB665"/>
    <mergeCell ref="DX668:EB668"/>
    <mergeCell ref="CU734:CY734"/>
    <mergeCell ref="DO725:DS725"/>
    <mergeCell ref="CZ734:DD734"/>
    <mergeCell ref="DE735:DI735"/>
    <mergeCell ref="DJ735:DN735"/>
    <mergeCell ref="DJ734:DN734"/>
    <mergeCell ref="DZ730:ED730"/>
    <mergeCell ref="EJ732:EN732"/>
    <mergeCell ref="DU734:DY734"/>
    <mergeCell ref="DE731:DI731"/>
    <mergeCell ref="DE725:DI725"/>
    <mergeCell ref="EH674:EL674"/>
    <mergeCell ref="EO729:ES729"/>
    <mergeCell ref="EO732:ES732"/>
    <mergeCell ref="DE732:DI732"/>
    <mergeCell ref="EC664:EG664"/>
    <mergeCell ref="EH664:EL664"/>
    <mergeCell ref="EM664:EQ664"/>
    <mergeCell ref="EJ725:EN725"/>
    <mergeCell ref="EC677:EG677"/>
    <mergeCell ref="EH677:EL677"/>
    <mergeCell ref="EM677:EQ677"/>
    <mergeCell ref="DX672:EB672"/>
    <mergeCell ref="CU736:CY736"/>
    <mergeCell ref="CZ728:DD728"/>
    <mergeCell ref="DX653:EB653"/>
    <mergeCell ref="DX655:EB655"/>
    <mergeCell ref="DJ728:DN728"/>
    <mergeCell ref="DJ725:DN725"/>
    <mergeCell ref="DJ730:DN730"/>
    <mergeCell ref="DZ726:ED726"/>
    <mergeCell ref="EE726:EI726"/>
    <mergeCell ref="DE728:DI728"/>
    <mergeCell ref="DO731:DS731"/>
    <mergeCell ref="DO732:DS732"/>
    <mergeCell ref="DO728:DS728"/>
    <mergeCell ref="DO730:DS730"/>
    <mergeCell ref="DU731:DY731"/>
    <mergeCell ref="DU727:DY727"/>
    <mergeCell ref="EC660:EG660"/>
    <mergeCell ref="EC655:EG655"/>
    <mergeCell ref="DX675:EB675"/>
    <mergeCell ref="DX663:EB663"/>
    <mergeCell ref="DX669:EB669"/>
    <mergeCell ref="DJ741:DN741"/>
    <mergeCell ref="EE733:EI733"/>
    <mergeCell ref="DU738:DY738"/>
    <mergeCell ref="EE736:EI736"/>
    <mergeCell ref="EJ736:EN736"/>
    <mergeCell ref="EO735:ES735"/>
    <mergeCell ref="DE737:DI737"/>
    <mergeCell ref="DE734:DI734"/>
    <mergeCell ref="DU737:DY737"/>
    <mergeCell ref="DU733:DY733"/>
    <mergeCell ref="DZ733:ED733"/>
    <mergeCell ref="DZ741:ED741"/>
    <mergeCell ref="EJ742:EN742"/>
    <mergeCell ref="DZ745:ED745"/>
    <mergeCell ref="EJ746:EN746"/>
    <mergeCell ref="DO736:DS736"/>
    <mergeCell ref="DO740:DS740"/>
    <mergeCell ref="DE736:DI736"/>
    <mergeCell ref="EE742:EI742"/>
    <mergeCell ref="DO739:DS739"/>
    <mergeCell ref="DO735:DS735"/>
    <mergeCell ref="DU741:DY741"/>
    <mergeCell ref="DO741:DS741"/>
    <mergeCell ref="DO742:DS742"/>
    <mergeCell ref="EJ740:EN740"/>
    <mergeCell ref="DU739:DY739"/>
    <mergeCell ref="DJ740:DN740"/>
    <mergeCell ref="DJ745:DN745"/>
    <mergeCell ref="DJ743:DN743"/>
    <mergeCell ref="DJ739:DN739"/>
    <mergeCell ref="DE739:DI739"/>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DE726:DI726"/>
    <mergeCell ref="CP810:CT810"/>
    <mergeCell ref="CP796:CT796"/>
    <mergeCell ref="U838:X838"/>
    <mergeCell ref="CU785:CY785"/>
    <mergeCell ref="CU761:CY761"/>
    <mergeCell ref="CM760:CN760"/>
    <mergeCell ref="CP760:CT760"/>
    <mergeCell ref="CP782:CT782"/>
    <mergeCell ref="AC739:AG739"/>
    <mergeCell ref="DE741:DI741"/>
    <mergeCell ref="CM735:CN735"/>
    <mergeCell ref="CZ727:DD727"/>
    <mergeCell ref="CU729:CY729"/>
    <mergeCell ref="DE729:DI729"/>
    <mergeCell ref="CI734:CJ734"/>
    <mergeCell ref="CG734:CH734"/>
    <mergeCell ref="AK730:AO730"/>
    <mergeCell ref="CI729:CJ729"/>
    <mergeCell ref="CG732:CH732"/>
    <mergeCell ref="CK729:CL729"/>
    <mergeCell ref="AH734:AJ734"/>
    <mergeCell ref="CU740:CY740"/>
    <mergeCell ref="CG759:CH759"/>
    <mergeCell ref="CU746:CY746"/>
    <mergeCell ref="O804:S804"/>
    <mergeCell ref="AC837:AF837"/>
    <mergeCell ref="Y834:AB834"/>
    <mergeCell ref="CG743:CH743"/>
    <mergeCell ref="U833:X833"/>
    <mergeCell ref="CG751:CH751"/>
    <mergeCell ref="DE747:DI747"/>
    <mergeCell ref="CP745:CT745"/>
    <mergeCell ref="CI743:CJ743"/>
    <mergeCell ref="CM761:CN761"/>
    <mergeCell ref="DE742:DI742"/>
    <mergeCell ref="CZ737:DD737"/>
    <mergeCell ref="CZ736:DD736"/>
    <mergeCell ref="CM736:CN736"/>
    <mergeCell ref="CM734:CN734"/>
    <mergeCell ref="CM729:CN729"/>
    <mergeCell ref="CP727:CT727"/>
    <mergeCell ref="B745:F745"/>
    <mergeCell ref="AC747:AG747"/>
    <mergeCell ref="T748:W748"/>
    <mergeCell ref="G745:J745"/>
    <mergeCell ref="J800:N800"/>
    <mergeCell ref="AC804:AG804"/>
    <mergeCell ref="O797:S797"/>
    <mergeCell ref="AC761:AG761"/>
    <mergeCell ref="Z816:AE816"/>
    <mergeCell ref="AC785:AG785"/>
    <mergeCell ref="AG833:AJ833"/>
    <mergeCell ref="AH756:AJ756"/>
    <mergeCell ref="U831:X832"/>
    <mergeCell ref="Q831:T832"/>
    <mergeCell ref="Z817:AE817"/>
    <mergeCell ref="K753:N753"/>
    <mergeCell ref="Q838:T838"/>
    <mergeCell ref="AC802:AG802"/>
    <mergeCell ref="T804:W804"/>
    <mergeCell ref="C765:AM766"/>
    <mergeCell ref="M833:P833"/>
    <mergeCell ref="U834:X834"/>
    <mergeCell ref="Z821:AE821"/>
    <mergeCell ref="C806:AN807"/>
    <mergeCell ref="C836:H836"/>
    <mergeCell ref="AC782:AG782"/>
    <mergeCell ref="AH753:AJ753"/>
    <mergeCell ref="AD767:AF767"/>
    <mergeCell ref="J803:N803"/>
    <mergeCell ref="J798:N798"/>
    <mergeCell ref="J787:K787"/>
    <mergeCell ref="O753:S753"/>
    <mergeCell ref="AC904:AH904"/>
    <mergeCell ref="BG856:BL856"/>
    <mergeCell ref="Q840:T840"/>
    <mergeCell ref="W878:AC878"/>
    <mergeCell ref="DJ756:DN756"/>
    <mergeCell ref="DJ755:DN755"/>
    <mergeCell ref="AC795:AG795"/>
    <mergeCell ref="AC803:AG803"/>
    <mergeCell ref="M831:P832"/>
    <mergeCell ref="Q834:T834"/>
    <mergeCell ref="Q836:T836"/>
    <mergeCell ref="U835:X835"/>
    <mergeCell ref="AG834:AJ834"/>
    <mergeCell ref="Y833:AB833"/>
    <mergeCell ref="AC833:AF833"/>
    <mergeCell ref="Q837:T837"/>
    <mergeCell ref="CP748:CT748"/>
    <mergeCell ref="CK760:CL760"/>
    <mergeCell ref="CP755:CT755"/>
    <mergeCell ref="CU748:CY748"/>
    <mergeCell ref="CP754:CT754"/>
    <mergeCell ref="CI759:CJ759"/>
    <mergeCell ref="CM748:CN748"/>
    <mergeCell ref="CK753:CL753"/>
    <mergeCell ref="T753:W753"/>
    <mergeCell ref="CI761:CJ761"/>
    <mergeCell ref="AH754:AJ754"/>
    <mergeCell ref="AH755:AJ755"/>
    <mergeCell ref="AH758:AJ758"/>
    <mergeCell ref="T756:W756"/>
    <mergeCell ref="X755:AB755"/>
    <mergeCell ref="X754:AB754"/>
    <mergeCell ref="M834:P834"/>
    <mergeCell ref="X804:AB804"/>
    <mergeCell ref="C833:H833"/>
    <mergeCell ref="AC894:AH894"/>
    <mergeCell ref="W850:AC850"/>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U942:Z942"/>
    <mergeCell ref="U943:Z943"/>
    <mergeCell ref="Z909:AE909"/>
    <mergeCell ref="I957:T957"/>
    <mergeCell ref="U950:Z950"/>
    <mergeCell ref="AA955:AF955"/>
    <mergeCell ref="F953:T953"/>
    <mergeCell ref="U953:Z953"/>
    <mergeCell ref="AA935:AF935"/>
    <mergeCell ref="AG838:AJ838"/>
    <mergeCell ref="AH761:AJ761"/>
    <mergeCell ref="AG831:AJ832"/>
    <mergeCell ref="AC834:AF834"/>
    <mergeCell ref="AC835:AF835"/>
    <mergeCell ref="C837:H837"/>
    <mergeCell ref="X760:AB760"/>
    <mergeCell ref="C835:H835"/>
    <mergeCell ref="AG837:AJ837"/>
    <mergeCell ref="AA950:AF950"/>
    <mergeCell ref="AA938:AF938"/>
    <mergeCell ref="U939:Z939"/>
    <mergeCell ref="AA939:AF939"/>
    <mergeCell ref="AA946:AF946"/>
    <mergeCell ref="F949:T949"/>
    <mergeCell ref="U948:Z948"/>
    <mergeCell ref="AA948:AF948"/>
    <mergeCell ref="AA949:AF949"/>
    <mergeCell ref="F941:T941"/>
    <mergeCell ref="F939:T939"/>
    <mergeCell ref="F940:T940"/>
    <mergeCell ref="U945:Z945"/>
    <mergeCell ref="C834:H834"/>
    <mergeCell ref="O764:R764"/>
    <mergeCell ref="Y831:AB832"/>
    <mergeCell ref="W879:AC879"/>
    <mergeCell ref="Z815:AE815"/>
    <mergeCell ref="AC797:AG797"/>
    <mergeCell ref="D1034:AE1034"/>
    <mergeCell ref="AF1035:AI1035"/>
    <mergeCell ref="D994:Q994"/>
    <mergeCell ref="AB994:AI994"/>
    <mergeCell ref="M880:V880"/>
    <mergeCell ref="Z910:AE910"/>
    <mergeCell ref="X802:AB802"/>
    <mergeCell ref="T784:W784"/>
    <mergeCell ref="AC796:AG796"/>
    <mergeCell ref="AG836:AJ836"/>
    <mergeCell ref="U836:X836"/>
    <mergeCell ref="M838:P838"/>
    <mergeCell ref="AC896:AH896"/>
    <mergeCell ref="AA957:AF957"/>
    <mergeCell ref="M976:S976"/>
    <mergeCell ref="AA953:AF953"/>
    <mergeCell ref="W851:AC851"/>
    <mergeCell ref="M977:S977"/>
    <mergeCell ref="AA984:AG984"/>
    <mergeCell ref="AA954:AF954"/>
    <mergeCell ref="U932:Z932"/>
    <mergeCell ref="M887:V887"/>
    <mergeCell ref="U947:Z947"/>
    <mergeCell ref="W876:AC876"/>
    <mergeCell ref="W870:AC870"/>
    <mergeCell ref="J857:V857"/>
    <mergeCell ref="F839:L839"/>
    <mergeCell ref="W857:AC857"/>
    <mergeCell ref="C845:AJ845"/>
    <mergeCell ref="C840:L840"/>
    <mergeCell ref="AA952:AF952"/>
    <mergeCell ref="I955:T955"/>
    <mergeCell ref="AA942:AF942"/>
    <mergeCell ref="M884:V884"/>
    <mergeCell ref="AA937:AF937"/>
    <mergeCell ref="B744:F744"/>
    <mergeCell ref="U936:Z936"/>
    <mergeCell ref="U941:Z941"/>
    <mergeCell ref="AA941:AF941"/>
    <mergeCell ref="AA936:AF936"/>
    <mergeCell ref="AC893:AH893"/>
    <mergeCell ref="W886:AC886"/>
    <mergeCell ref="AA940:AF940"/>
    <mergeCell ref="C901:AB901"/>
    <mergeCell ref="U933:Z933"/>
    <mergeCell ref="A1103:B1103"/>
    <mergeCell ref="W867:AC867"/>
    <mergeCell ref="F947:T947"/>
    <mergeCell ref="M837:P837"/>
    <mergeCell ref="F938:T938"/>
    <mergeCell ref="F946:T946"/>
    <mergeCell ref="U946:Z946"/>
    <mergeCell ref="U940:Z940"/>
    <mergeCell ref="F924:T924"/>
    <mergeCell ref="W861:AC861"/>
    <mergeCell ref="U840:X840"/>
    <mergeCell ref="M840:P840"/>
    <mergeCell ref="W875:AC875"/>
    <mergeCell ref="U949:Z949"/>
    <mergeCell ref="AA947:AF947"/>
    <mergeCell ref="Y837:AB837"/>
    <mergeCell ref="W860:AC860"/>
    <mergeCell ref="AA931:AF931"/>
    <mergeCell ref="M967:S967"/>
    <mergeCell ref="C838:H838"/>
    <mergeCell ref="AC805:AG805"/>
    <mergeCell ref="G753:J753"/>
    <mergeCell ref="G754:J754"/>
    <mergeCell ref="M836:P836"/>
    <mergeCell ref="AJ1020:AQ1021"/>
    <mergeCell ref="AJ995:AQ995"/>
    <mergeCell ref="AJ1010:AQ101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X759:AB759"/>
    <mergeCell ref="O758:S758"/>
    <mergeCell ref="AG1025:AH1025"/>
    <mergeCell ref="M964:S964"/>
    <mergeCell ref="M839:P839"/>
    <mergeCell ref="AE970:AK970"/>
    <mergeCell ref="D1004:AE1007"/>
    <mergeCell ref="D1011:AE1015"/>
    <mergeCell ref="A1134:B1134"/>
    <mergeCell ref="G733:J733"/>
    <mergeCell ref="AG1038:AH1038"/>
    <mergeCell ref="D1046:AE1049"/>
    <mergeCell ref="B742:F742"/>
    <mergeCell ref="AC751:AG751"/>
    <mergeCell ref="AC752:AG752"/>
    <mergeCell ref="I956:T956"/>
    <mergeCell ref="AK746:AO746"/>
    <mergeCell ref="U955:Z955"/>
    <mergeCell ref="F955:H955"/>
    <mergeCell ref="F937:T937"/>
    <mergeCell ref="U935:Z935"/>
    <mergeCell ref="Y835:AB835"/>
    <mergeCell ref="AG835:AJ835"/>
    <mergeCell ref="U929:Z929"/>
    <mergeCell ref="W869:AC869"/>
    <mergeCell ref="C904:AB904"/>
    <mergeCell ref="F935:T935"/>
    <mergeCell ref="F936:T936"/>
    <mergeCell ref="P954:T954"/>
    <mergeCell ref="K748:N748"/>
    <mergeCell ref="AC746:AG746"/>
    <mergeCell ref="G747:J747"/>
    <mergeCell ref="X749:AB749"/>
    <mergeCell ref="AH745:AJ745"/>
    <mergeCell ref="W874:AC874"/>
    <mergeCell ref="W888:AC888"/>
    <mergeCell ref="AJ1034:AQ1037"/>
    <mergeCell ref="AF1036:AI1037"/>
    <mergeCell ref="D1055:AE1056"/>
    <mergeCell ref="AB997:AI997"/>
    <mergeCell ref="FY753:GC753"/>
    <mergeCell ref="D1025:AE1025"/>
    <mergeCell ref="D1017:AE1019"/>
    <mergeCell ref="D1016:AE1016"/>
    <mergeCell ref="R999:AA999"/>
    <mergeCell ref="AJ999:AQ999"/>
    <mergeCell ref="W983:AG983"/>
    <mergeCell ref="AB1000:AI1000"/>
    <mergeCell ref="FT759:FX759"/>
    <mergeCell ref="EJ759:EN759"/>
    <mergeCell ref="FY759:GC759"/>
    <mergeCell ref="FE759:FI759"/>
    <mergeCell ref="FJ759:FN759"/>
    <mergeCell ref="FY755:GC755"/>
    <mergeCell ref="FO759:FS759"/>
    <mergeCell ref="CZ760:DD760"/>
    <mergeCell ref="DO762:DS762"/>
    <mergeCell ref="DE754:DI754"/>
    <mergeCell ref="AJ1025:AQ1028"/>
    <mergeCell ref="U938:Z938"/>
    <mergeCell ref="D997:Q997"/>
    <mergeCell ref="D998:Q998"/>
    <mergeCell ref="B1001:AI1001"/>
    <mergeCell ref="AJ1000:AQ1000"/>
    <mergeCell ref="M971:S971"/>
    <mergeCell ref="AE967:AK967"/>
    <mergeCell ref="D1020:AE1020"/>
    <mergeCell ref="AE969:AK969"/>
    <mergeCell ref="AF1030:AI1031"/>
    <mergeCell ref="R995:AA995"/>
    <mergeCell ref="AJ1029:AQ1033"/>
    <mergeCell ref="AB998:AI998"/>
    <mergeCell ref="AJ1062:AQ1062"/>
    <mergeCell ref="D1054:AE1054"/>
    <mergeCell ref="D1023:AE1024"/>
    <mergeCell ref="AG1054:AH1054"/>
    <mergeCell ref="D1026:AE1028"/>
    <mergeCell ref="AG1041:AH1041"/>
    <mergeCell ref="D1045:AE1045"/>
    <mergeCell ref="AG1050:AH1050"/>
    <mergeCell ref="AG1045:AH1045"/>
    <mergeCell ref="D1035:AE1037"/>
    <mergeCell ref="AJ1045:AQ1049"/>
    <mergeCell ref="D1050:AE1050"/>
    <mergeCell ref="D1051:AE1053"/>
    <mergeCell ref="AB996:AI996"/>
    <mergeCell ref="D996:Q996"/>
    <mergeCell ref="R998:AA998"/>
    <mergeCell ref="AJ998:AQ998"/>
    <mergeCell ref="J1033:AE1033"/>
    <mergeCell ref="AJ1001:AQ1001"/>
    <mergeCell ref="AJ1002:AQ1002"/>
    <mergeCell ref="D1022:AE1022"/>
    <mergeCell ref="AF1002:AI1002"/>
    <mergeCell ref="AG1003:AH1003"/>
    <mergeCell ref="AG1010:AH1010"/>
    <mergeCell ref="AG1016:AH1016"/>
    <mergeCell ref="AG1022:AH1022"/>
    <mergeCell ref="D1042:AE1044"/>
    <mergeCell ref="D1029:AE1030"/>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FY729:GC729"/>
    <mergeCell ref="EZ730:FD730"/>
    <mergeCell ref="FE730:FI730"/>
    <mergeCell ref="FJ730:FN730"/>
    <mergeCell ref="FO730:FS730"/>
    <mergeCell ref="FT730:FX730"/>
    <mergeCell ref="FY730:GC730"/>
    <mergeCell ref="EZ731:FD731"/>
    <mergeCell ref="FE731:FI731"/>
    <mergeCell ref="FJ731:FN731"/>
    <mergeCell ref="FO731:FS731"/>
    <mergeCell ref="FJ729:FN729"/>
    <mergeCell ref="FJ728:FN728"/>
    <mergeCell ref="DZ740:ED740"/>
    <mergeCell ref="EE740:EI740"/>
    <mergeCell ref="U958:Z958"/>
    <mergeCell ref="I958:T958"/>
    <mergeCell ref="M982:S982"/>
    <mergeCell ref="O983:P983"/>
    <mergeCell ref="AG1020:AH1020"/>
    <mergeCell ref="K751:N751"/>
    <mergeCell ref="AA934:AF934"/>
    <mergeCell ref="F925:T926"/>
    <mergeCell ref="F948:T948"/>
    <mergeCell ref="T759:W759"/>
    <mergeCell ref="K756:N756"/>
    <mergeCell ref="B743:F743"/>
    <mergeCell ref="D1008:AE1008"/>
    <mergeCell ref="R996:AA996"/>
    <mergeCell ref="O749:S749"/>
    <mergeCell ref="D995:Q995"/>
    <mergeCell ref="AB995:AI995"/>
    <mergeCell ref="AA977:AG977"/>
    <mergeCell ref="AE964:AK964"/>
    <mergeCell ref="M968:S968"/>
    <mergeCell ref="J966:S966"/>
    <mergeCell ref="AE968:AK968"/>
    <mergeCell ref="T982:Z982"/>
    <mergeCell ref="AA976:AG976"/>
    <mergeCell ref="M969:S969"/>
    <mergeCell ref="M981:S981"/>
    <mergeCell ref="AE971:AK971"/>
    <mergeCell ref="M970:S970"/>
    <mergeCell ref="AB926:AE926"/>
    <mergeCell ref="DZ742:ED742"/>
    <mergeCell ref="DZ739:ED739"/>
    <mergeCell ref="EE739:EI739"/>
    <mergeCell ref="EJ739:EN739"/>
    <mergeCell ref="DU740:DY740"/>
    <mergeCell ref="DZ734:ED734"/>
    <mergeCell ref="DU736:DY736"/>
    <mergeCell ref="EZ757:FD757"/>
    <mergeCell ref="FE757:FI757"/>
    <mergeCell ref="FJ757:FN757"/>
    <mergeCell ref="FO757:FS757"/>
    <mergeCell ref="FO755:FS755"/>
    <mergeCell ref="FT755:FX755"/>
    <mergeCell ref="FJ754:FN754"/>
    <mergeCell ref="FO754:FS754"/>
    <mergeCell ref="DU749:DY749"/>
    <mergeCell ref="DZ749:ED749"/>
    <mergeCell ref="DU753:DY753"/>
    <mergeCell ref="FE735:FI735"/>
    <mergeCell ref="FT735:FX735"/>
    <mergeCell ref="FJ734:FN734"/>
    <mergeCell ref="FT751:FX751"/>
    <mergeCell ref="FO750:FS750"/>
    <mergeCell ref="FT738:FX738"/>
    <mergeCell ref="EZ738:FD738"/>
    <mergeCell ref="EZ748:FD748"/>
    <mergeCell ref="FE748:FI748"/>
    <mergeCell ref="FJ748:FN748"/>
    <mergeCell ref="EJ741:EN741"/>
    <mergeCell ref="FT750:FX750"/>
    <mergeCell ref="FT756:FX756"/>
    <mergeCell ref="FT746:FX746"/>
    <mergeCell ref="EZ739:FD739"/>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Y735:GC735"/>
    <mergeCell ref="FY745:GC745"/>
    <mergeCell ref="FT743:FX743"/>
    <mergeCell ref="FY743:GC743"/>
    <mergeCell ref="EZ744:FD744"/>
    <mergeCell ref="FE744:FI744"/>
    <mergeCell ref="FJ744:FN744"/>
    <mergeCell ref="EZ736:FD736"/>
    <mergeCell ref="FE736:FI736"/>
    <mergeCell ref="FJ736:FN736"/>
    <mergeCell ref="FO736:FS736"/>
    <mergeCell ref="FY738:GC738"/>
    <mergeCell ref="EZ735:FD735"/>
    <mergeCell ref="FO734:FS734"/>
    <mergeCell ref="FT734:FX734"/>
    <mergeCell ref="FT736:FX736"/>
    <mergeCell ref="FY734:GC734"/>
    <mergeCell ref="FT739:FX739"/>
    <mergeCell ref="FY739:GC739"/>
    <mergeCell ref="EZ743:FD743"/>
    <mergeCell ref="FY736:GC736"/>
    <mergeCell ref="EZ737:FD737"/>
    <mergeCell ref="FE737:FI737"/>
    <mergeCell ref="FJ737:FN737"/>
    <mergeCell ref="FO737:FS737"/>
    <mergeCell ref="FT737:FX737"/>
    <mergeCell ref="FY737:GC737"/>
    <mergeCell ref="FY744:GC744"/>
    <mergeCell ref="EZ745:FD745"/>
    <mergeCell ref="FE745:FI745"/>
    <mergeCell ref="FO748:FS748"/>
    <mergeCell ref="FJ741:FN741"/>
    <mergeCell ref="FO741:FS741"/>
    <mergeCell ref="FJ745:FN745"/>
    <mergeCell ref="FO745:FS745"/>
    <mergeCell ref="FJ742:FN742"/>
    <mergeCell ref="FO742:FS742"/>
    <mergeCell ref="FO738:FS738"/>
    <mergeCell ref="FO746:FS746"/>
    <mergeCell ref="FO740:FS740"/>
    <mergeCell ref="FT740:FX740"/>
    <mergeCell ref="FY740:GC740"/>
    <mergeCell ref="FO744:FS744"/>
    <mergeCell ref="FT744:FX744"/>
    <mergeCell ref="FE741:FI741"/>
    <mergeCell ref="FJ743:FN743"/>
    <mergeCell ref="FE739:FI739"/>
    <mergeCell ref="FJ739:FN739"/>
    <mergeCell ref="FY746:GC746"/>
    <mergeCell ref="FT748:FX748"/>
    <mergeCell ref="FT741:FX741"/>
    <mergeCell ref="FT742:FX742"/>
    <mergeCell ref="FY741:GC741"/>
    <mergeCell ref="FY748:GC748"/>
    <mergeCell ref="EZ741:FD741"/>
    <mergeCell ref="FY747:GC747"/>
    <mergeCell ref="EZ742:FD742"/>
    <mergeCell ref="FE742:FI742"/>
    <mergeCell ref="EZ746:FD746"/>
    <mergeCell ref="FT747:FX747"/>
    <mergeCell ref="FE746:FI746"/>
    <mergeCell ref="FJ746:FN746"/>
    <mergeCell ref="FJ760:FN760"/>
    <mergeCell ref="FO760:FS760"/>
    <mergeCell ref="FE740:FI740"/>
    <mergeCell ref="FJ740:FN740"/>
    <mergeCell ref="FE747:FI747"/>
    <mergeCell ref="FJ747:FN747"/>
    <mergeCell ref="FO747:FS747"/>
    <mergeCell ref="FE743:FI743"/>
    <mergeCell ref="FT745:FX745"/>
    <mergeCell ref="FY750:GC750"/>
    <mergeCell ref="FT749:FX749"/>
    <mergeCell ref="FY742:GC742"/>
    <mergeCell ref="FY749:GC749"/>
    <mergeCell ref="FE734:FI734"/>
    <mergeCell ref="FJ735:FN735"/>
    <mergeCell ref="FO735:FS735"/>
    <mergeCell ref="ET760:EX760"/>
    <mergeCell ref="EZ751:FD751"/>
    <mergeCell ref="EZ755:FD755"/>
    <mergeCell ref="FE755:FI755"/>
    <mergeCell ref="FO743:FS743"/>
    <mergeCell ref="ET729:EX729"/>
    <mergeCell ref="ET759:EX759"/>
    <mergeCell ref="EZ747:FD747"/>
    <mergeCell ref="FO749:FS749"/>
    <mergeCell ref="FJ733:FN733"/>
    <mergeCell ref="ET753:EX753"/>
    <mergeCell ref="ET735:EX735"/>
    <mergeCell ref="EZ740:FD740"/>
    <mergeCell ref="FO733:FS733"/>
    <mergeCell ref="ET732:EX732"/>
    <mergeCell ref="ET734:EX734"/>
    <mergeCell ref="ET739:EX739"/>
    <mergeCell ref="EZ749:FD749"/>
    <mergeCell ref="FE749:FI749"/>
    <mergeCell ref="FJ749:FN749"/>
    <mergeCell ref="FO729:FS729"/>
    <mergeCell ref="ET744:EX744"/>
    <mergeCell ref="ET741:EX741"/>
    <mergeCell ref="ET742:EX742"/>
    <mergeCell ref="ET743:EX743"/>
    <mergeCell ref="FO739:FS739"/>
    <mergeCell ref="FE738:FI738"/>
    <mergeCell ref="FJ738:FN738"/>
    <mergeCell ref="ET751:EX751"/>
    <mergeCell ref="FE728:FI728"/>
    <mergeCell ref="EO738:ES738"/>
    <mergeCell ref="ET738:EX738"/>
    <mergeCell ref="ER667:EV667"/>
    <mergeCell ref="EW667:FA667"/>
    <mergeCell ref="ER678:EV678"/>
    <mergeCell ref="DX677:EB677"/>
    <mergeCell ref="EH678:EL678"/>
    <mergeCell ref="EJ737:EN737"/>
    <mergeCell ref="DZ731:ED731"/>
    <mergeCell ref="EE727:EI727"/>
    <mergeCell ref="ET733:EX733"/>
    <mergeCell ref="ER675:EV675"/>
    <mergeCell ref="DU730:DY730"/>
    <mergeCell ref="EJ733:EN733"/>
    <mergeCell ref="DZ728:ED728"/>
    <mergeCell ref="EJ727:EN727"/>
    <mergeCell ref="EO728:ES728"/>
    <mergeCell ref="EZ734:FD734"/>
    <mergeCell ref="EO731:ES731"/>
    <mergeCell ref="DZ727:ED727"/>
    <mergeCell ref="DZ735:ED735"/>
    <mergeCell ref="EE731:EI731"/>
    <mergeCell ref="EE734:EI734"/>
    <mergeCell ref="EJ731:EN731"/>
    <mergeCell ref="EZ728:FD728"/>
    <mergeCell ref="ER676:EV676"/>
    <mergeCell ref="EW676:FA676"/>
    <mergeCell ref="EW672:FA672"/>
    <mergeCell ref="EM678:EQ678"/>
    <mergeCell ref="EH670:EL670"/>
    <mergeCell ref="DX667:EB667"/>
    <mergeCell ref="FO728:FS728"/>
    <mergeCell ref="ET730:EX730"/>
    <mergeCell ref="ET728:EX728"/>
    <mergeCell ref="EO736:ES736"/>
    <mergeCell ref="ET725:EX725"/>
    <mergeCell ref="EE737:EI737"/>
    <mergeCell ref="EO734:ES734"/>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E728:EI728"/>
    <mergeCell ref="EC672:EG672"/>
    <mergeCell ref="ER648:EV648"/>
    <mergeCell ref="EW660:FA660"/>
    <mergeCell ref="EW675:FA675"/>
    <mergeCell ref="ER665:EV665"/>
    <mergeCell ref="EW665:FA665"/>
    <mergeCell ref="EH667:EL667"/>
    <mergeCell ref="EC669:EG669"/>
    <mergeCell ref="EH669:EL669"/>
    <mergeCell ref="ER662:EV662"/>
    <mergeCell ref="EH665:EL665"/>
    <mergeCell ref="EM665:EQ665"/>
    <mergeCell ref="EW661:FA661"/>
    <mergeCell ref="EH661:EL661"/>
    <mergeCell ref="EW674:FA674"/>
    <mergeCell ref="EW662:FA662"/>
    <mergeCell ref="ER669:EV669"/>
    <mergeCell ref="EC671:EG671"/>
    <mergeCell ref="EH671:EL671"/>
    <mergeCell ref="ER673:EV673"/>
    <mergeCell ref="EW668:FA668"/>
    <mergeCell ref="EC670:EG670"/>
    <mergeCell ref="EC667:EG667"/>
    <mergeCell ref="EM663:EQ663"/>
    <mergeCell ref="EC662:EG662"/>
    <mergeCell ref="EH662:EL662"/>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57:EL657"/>
    <mergeCell ref="EH655:EL655"/>
    <mergeCell ref="EM655:EQ655"/>
    <mergeCell ref="EW657:FA657"/>
    <mergeCell ref="EH650:EL650"/>
    <mergeCell ref="EM650:EQ650"/>
    <mergeCell ref="ER650:EV650"/>
    <mergeCell ref="EW656:FA656"/>
    <mergeCell ref="EW646:FA646"/>
    <mergeCell ref="ER656:EV656"/>
    <mergeCell ref="ER655:EV655"/>
    <mergeCell ref="EH648:EL648"/>
    <mergeCell ref="EM648:EQ648"/>
    <mergeCell ref="EC651:EG651"/>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60:EQ660"/>
    <mergeCell ref="DX658:EB658"/>
    <mergeCell ref="EC658:EG658"/>
    <mergeCell ref="EC665:EG665"/>
    <mergeCell ref="EM661:EQ661"/>
    <mergeCell ref="ER661:EV661"/>
    <mergeCell ref="ER668:EV668"/>
    <mergeCell ref="EM675:EQ675"/>
    <mergeCell ref="EE725:EI725"/>
    <mergeCell ref="EW670:FA670"/>
    <mergeCell ref="DX671:EB671"/>
    <mergeCell ref="ER677:EV677"/>
    <mergeCell ref="EO725:ES725"/>
    <mergeCell ref="EW669:FA669"/>
    <mergeCell ref="EM659:EQ659"/>
    <mergeCell ref="EW659:FA659"/>
    <mergeCell ref="ER647:EV647"/>
    <mergeCell ref="DX652:EB652"/>
    <mergeCell ref="DX650:EB650"/>
    <mergeCell ref="ER659:EV659"/>
    <mergeCell ref="ER660:EV660"/>
    <mergeCell ref="EW649:FA649"/>
    <mergeCell ref="EM649:EQ649"/>
    <mergeCell ref="EC652:EG652"/>
    <mergeCell ref="EH652:EL652"/>
    <mergeCell ref="EZ725:FD725"/>
    <mergeCell ref="EW652:FA652"/>
    <mergeCell ref="ER649:EV649"/>
    <mergeCell ref="EH649:EL649"/>
    <mergeCell ref="EM653:EQ653"/>
    <mergeCell ref="EW658:FA658"/>
    <mergeCell ref="EH660:EL660"/>
    <mergeCell ref="EC668:EG668"/>
    <mergeCell ref="EC663:EG663"/>
    <mergeCell ref="DX657:EB657"/>
    <mergeCell ref="ER664:EV664"/>
    <mergeCell ref="ER657:EV657"/>
    <mergeCell ref="EW666:FA666"/>
    <mergeCell ref="EH654:EL654"/>
    <mergeCell ref="EH656:EL656"/>
    <mergeCell ref="EW655:FA655"/>
    <mergeCell ref="EH658:EL658"/>
    <mergeCell ref="EW663:FA663"/>
    <mergeCell ref="ER663:EV663"/>
    <mergeCell ref="EM656:EQ656"/>
    <mergeCell ref="EH663:EL663"/>
    <mergeCell ref="DU732:DY732"/>
    <mergeCell ref="EO741:ES741"/>
    <mergeCell ref="DZ732:ED732"/>
    <mergeCell ref="EJ734:EN734"/>
    <mergeCell ref="EO733:ES733"/>
    <mergeCell ref="EM669:EQ669"/>
    <mergeCell ref="ER674:EV674"/>
    <mergeCell ref="DU725:DY725"/>
    <mergeCell ref="EO726:ES726"/>
    <mergeCell ref="DU728:DY728"/>
    <mergeCell ref="EW671:FA671"/>
    <mergeCell ref="EH676:EL676"/>
    <mergeCell ref="EW677:FA677"/>
    <mergeCell ref="EC678:EG678"/>
    <mergeCell ref="DX664:EB664"/>
    <mergeCell ref="ET736:EX736"/>
    <mergeCell ref="EW673:FA673"/>
    <mergeCell ref="DU726:DY726"/>
    <mergeCell ref="DU729:DY729"/>
    <mergeCell ref="EE729:EI729"/>
    <mergeCell ref="EJ729:EN729"/>
    <mergeCell ref="ET726:EX726"/>
    <mergeCell ref="EM670:EQ670"/>
    <mergeCell ref="ER670:EV670"/>
    <mergeCell ref="EM671:EQ671"/>
    <mergeCell ref="ER671:EV671"/>
    <mergeCell ref="EC673:EG673"/>
    <mergeCell ref="EH673:EL673"/>
    <mergeCell ref="EM673:EQ673"/>
    <mergeCell ref="EM674:EQ674"/>
    <mergeCell ref="EO739:ES739"/>
    <mergeCell ref="EE741:EI741"/>
    <mergeCell ref="DO737:DS737"/>
    <mergeCell ref="EO743:ES743"/>
    <mergeCell ref="EE743:EI743"/>
    <mergeCell ref="DO743:DS743"/>
    <mergeCell ref="EE745:EI745"/>
    <mergeCell ref="EE761:EI761"/>
    <mergeCell ref="DE781:DI781"/>
    <mergeCell ref="DJ761:DN761"/>
    <mergeCell ref="DE748:DI748"/>
    <mergeCell ref="DU748:DY748"/>
    <mergeCell ref="DZ748:ED748"/>
    <mergeCell ref="EE748:EI748"/>
    <mergeCell ref="EE753:EI753"/>
    <mergeCell ref="DU757:DY757"/>
    <mergeCell ref="DZ757:ED757"/>
    <mergeCell ref="DO754:DS754"/>
    <mergeCell ref="ET740:EX740"/>
    <mergeCell ref="EJ757:EN757"/>
    <mergeCell ref="EO757:ES757"/>
    <mergeCell ref="EE755:EI755"/>
    <mergeCell ref="EJ755:EN755"/>
    <mergeCell ref="EE750:EI750"/>
    <mergeCell ref="EJ750:EN750"/>
    <mergeCell ref="EO750:ES750"/>
    <mergeCell ref="EJ752:EN752"/>
    <mergeCell ref="EO752:ES752"/>
    <mergeCell ref="DE757:DI757"/>
    <mergeCell ref="DJ757:DN757"/>
    <mergeCell ref="DO757:DS757"/>
    <mergeCell ref="EO740:ES740"/>
    <mergeCell ref="DO750:DS750"/>
    <mergeCell ref="DJ748:DN748"/>
    <mergeCell ref="EJ745:EN745"/>
    <mergeCell ref="DZ744:ED744"/>
    <mergeCell ref="EE744:EI744"/>
    <mergeCell ref="EJ744:EN744"/>
    <mergeCell ref="DU754:DY754"/>
    <mergeCell ref="DZ754:ED754"/>
    <mergeCell ref="EE754:EI754"/>
    <mergeCell ref="CZ755:DD755"/>
    <mergeCell ref="DE749:DI749"/>
    <mergeCell ref="CZ753:DD753"/>
    <mergeCell ref="DE753:DI753"/>
    <mergeCell ref="CU759:CY759"/>
    <mergeCell ref="DU755:DY755"/>
    <mergeCell ref="DZ755:ED755"/>
    <mergeCell ref="DO759:DS759"/>
    <mergeCell ref="DJ754:DN754"/>
    <mergeCell ref="DE758:DI758"/>
    <mergeCell ref="CZ758:DD758"/>
    <mergeCell ref="CZ757:DD757"/>
    <mergeCell ref="DO756:DS756"/>
    <mergeCell ref="EE757:EI757"/>
    <mergeCell ref="CZ756:DD756"/>
    <mergeCell ref="DO749:DS749"/>
    <mergeCell ref="DJ749:DN749"/>
    <mergeCell ref="DO755:DS755"/>
    <mergeCell ref="DZ750:ED750"/>
    <mergeCell ref="DE756:DI756"/>
    <mergeCell ref="DU752:DY752"/>
    <mergeCell ref="DZ752:ED752"/>
    <mergeCell ref="EE752:EI752"/>
    <mergeCell ref="CZ749:DD749"/>
    <mergeCell ref="CZ748:DD748"/>
    <mergeCell ref="DO758:DS758"/>
    <mergeCell ref="DJ781:DN781"/>
    <mergeCell ref="DE755:DI755"/>
    <mergeCell ref="DU747:DY747"/>
    <mergeCell ref="DZ747:ED747"/>
    <mergeCell ref="DE751:DI751"/>
    <mergeCell ref="EE759:EI759"/>
    <mergeCell ref="DU759:DY759"/>
    <mergeCell ref="DZ759:ED759"/>
    <mergeCell ref="DU760:DY760"/>
    <mergeCell ref="DZ760:ED760"/>
    <mergeCell ref="DJ760:DN760"/>
    <mergeCell ref="DE782:DI782"/>
    <mergeCell ref="DJ782:DN782"/>
    <mergeCell ref="DZ761:ED761"/>
    <mergeCell ref="CP743:CT743"/>
    <mergeCell ref="DJ744:DN744"/>
    <mergeCell ref="DE744:DI744"/>
    <mergeCell ref="CU782:CY782"/>
    <mergeCell ref="CU749:CY749"/>
    <mergeCell ref="CZ747:DD747"/>
    <mergeCell ref="DZ751:ED751"/>
    <mergeCell ref="EE751:EI751"/>
    <mergeCell ref="DU745:DY745"/>
    <mergeCell ref="DU743:DY743"/>
    <mergeCell ref="DO745:DS745"/>
    <mergeCell ref="CU744:CY744"/>
    <mergeCell ref="CP757:CT757"/>
    <mergeCell ref="CU757:CY757"/>
    <mergeCell ref="DJ759:DN759"/>
    <mergeCell ref="CP747:CT747"/>
    <mergeCell ref="DE746:DI746"/>
    <mergeCell ref="EO753:ES753"/>
    <mergeCell ref="DE752:DI752"/>
    <mergeCell ref="EO746:ES746"/>
    <mergeCell ref="EJ728:EN728"/>
    <mergeCell ref="EO730:ES730"/>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EJ753:EN753"/>
    <mergeCell ref="CP756:CT756"/>
    <mergeCell ref="CP758:CT758"/>
    <mergeCell ref="CP752:CT752"/>
    <mergeCell ref="DZ743:ED743"/>
    <mergeCell ref="CZ784:DD784"/>
    <mergeCell ref="DO751:DS751"/>
    <mergeCell ref="DO752:DS752"/>
    <mergeCell ref="EE746:EI746"/>
    <mergeCell ref="DO746:DS746"/>
    <mergeCell ref="CP785:CT785"/>
    <mergeCell ref="CP781:CT781"/>
    <mergeCell ref="CU760:CY760"/>
    <mergeCell ref="DU742:DY742"/>
    <mergeCell ref="DE761:DI761"/>
    <mergeCell ref="CU743:CY743"/>
    <mergeCell ref="CZ759:DD759"/>
    <mergeCell ref="EM644:EQ644"/>
    <mergeCell ref="DX645:EB645"/>
    <mergeCell ref="AC641:AE641"/>
    <mergeCell ref="B647:AN647"/>
    <mergeCell ref="B648:AN648"/>
    <mergeCell ref="B727:F727"/>
    <mergeCell ref="Z654:AK654"/>
    <mergeCell ref="B754:F754"/>
    <mergeCell ref="EJ747:EN747"/>
    <mergeCell ref="DJ746:DN746"/>
    <mergeCell ref="EO745:ES745"/>
    <mergeCell ref="EO748:ES748"/>
    <mergeCell ref="DZ729:ED729"/>
    <mergeCell ref="EM657:EQ657"/>
    <mergeCell ref="EM662:EQ662"/>
    <mergeCell ref="EJ735:EN735"/>
    <mergeCell ref="EJ743:EN743"/>
    <mergeCell ref="CP746:CT746"/>
    <mergeCell ref="Q644:S644"/>
    <mergeCell ref="Q645:S645"/>
    <mergeCell ref="C644:L644"/>
    <mergeCell ref="N673:O673"/>
    <mergeCell ref="AA664:AK664"/>
    <mergeCell ref="EH653:EL653"/>
    <mergeCell ref="C646:L646"/>
    <mergeCell ref="AM572:AS572"/>
    <mergeCell ref="AM574:AS574"/>
    <mergeCell ref="B632:L634"/>
    <mergeCell ref="AO636:AS636"/>
    <mergeCell ref="AO632:AS634"/>
    <mergeCell ref="W640:Y640"/>
    <mergeCell ref="Q635:S635"/>
    <mergeCell ref="Q636:S636"/>
    <mergeCell ref="Q637:S637"/>
    <mergeCell ref="Z635:AB635"/>
    <mergeCell ref="W642:Y642"/>
    <mergeCell ref="AI589:AK589"/>
    <mergeCell ref="W479:Y479"/>
    <mergeCell ref="AI567:AL567"/>
    <mergeCell ref="AC526:AF526"/>
    <mergeCell ref="EC645:EG645"/>
    <mergeCell ref="EC649:EG649"/>
    <mergeCell ref="AO649:AS649"/>
    <mergeCell ref="AI564:AL564"/>
    <mergeCell ref="AH509:AK509"/>
    <mergeCell ref="W564:Y564"/>
    <mergeCell ref="G482:V482"/>
    <mergeCell ref="AH534:AK534"/>
    <mergeCell ref="AH525:AK525"/>
    <mergeCell ref="C640:L640"/>
    <mergeCell ref="M640:P640"/>
    <mergeCell ref="Q641:S641"/>
    <mergeCell ref="AF639:AJ639"/>
    <mergeCell ref="Z637:AB637"/>
    <mergeCell ref="Z580:AE580"/>
    <mergeCell ref="Z597:AE597"/>
    <mergeCell ref="AA622:AK622"/>
    <mergeCell ref="G588:R588"/>
    <mergeCell ref="W639:Y639"/>
    <mergeCell ref="AG623:AH623"/>
    <mergeCell ref="G620:R620"/>
    <mergeCell ref="AI569:AL569"/>
    <mergeCell ref="P613:R613"/>
    <mergeCell ref="Z613:AE613"/>
    <mergeCell ref="Z604:AK604"/>
    <mergeCell ref="AK636:AN636"/>
    <mergeCell ref="C572:L572"/>
    <mergeCell ref="M572:P572"/>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69:AT70"/>
    <mergeCell ref="A72:AT73"/>
    <mergeCell ref="A552:AT553"/>
    <mergeCell ref="A488:AT489"/>
    <mergeCell ref="A360:AT361"/>
    <mergeCell ref="I401:N401"/>
    <mergeCell ref="M366:N366"/>
    <mergeCell ref="AM564:AS564"/>
    <mergeCell ref="AH527:AK527"/>
    <mergeCell ref="M569:P569"/>
    <mergeCell ref="C573:L573"/>
    <mergeCell ref="W566:Y566"/>
    <mergeCell ref="AE566:AH566"/>
    <mergeCell ref="C565:L565"/>
    <mergeCell ref="G601:R601"/>
    <mergeCell ref="AE571:AH571"/>
    <mergeCell ref="AM571:AS571"/>
    <mergeCell ref="AI340:AK340"/>
    <mergeCell ref="G587:R587"/>
    <mergeCell ref="AG599:AH599"/>
    <mergeCell ref="N591:O591"/>
    <mergeCell ref="P597:R597"/>
    <mergeCell ref="AM569:AS569"/>
    <mergeCell ref="AM567:AS567"/>
    <mergeCell ref="M573:P573"/>
    <mergeCell ref="AM566:AS566"/>
    <mergeCell ref="Z589:AE589"/>
    <mergeCell ref="Z594:AK594"/>
    <mergeCell ref="AE565:AH565"/>
    <mergeCell ref="T565:V565"/>
    <mergeCell ref="AM570:AS570"/>
    <mergeCell ref="AM573:AS573"/>
    <mergeCell ref="AI621:AK621"/>
    <mergeCell ref="AJ1054:AQ1057"/>
    <mergeCell ref="AJ1058:AQ1061"/>
    <mergeCell ref="X731:AB731"/>
    <mergeCell ref="O732:S732"/>
    <mergeCell ref="T744:W744"/>
    <mergeCell ref="G667:R667"/>
    <mergeCell ref="P679:R679"/>
    <mergeCell ref="G669:R669"/>
    <mergeCell ref="Z659:AK659"/>
    <mergeCell ref="G741:J741"/>
    <mergeCell ref="K731:N731"/>
    <mergeCell ref="G727:J727"/>
    <mergeCell ref="X739:AB739"/>
    <mergeCell ref="AH740:AJ740"/>
    <mergeCell ref="G746:J746"/>
    <mergeCell ref="K745:N745"/>
    <mergeCell ref="G736:J736"/>
    <mergeCell ref="O746:S746"/>
    <mergeCell ref="AK738:AO738"/>
    <mergeCell ref="G742:J742"/>
    <mergeCell ref="T747:W747"/>
    <mergeCell ref="I1061:J1061"/>
    <mergeCell ref="U924:Z926"/>
    <mergeCell ref="U959:Z959"/>
    <mergeCell ref="M835:P835"/>
    <mergeCell ref="J805:N805"/>
    <mergeCell ref="W854:AC854"/>
    <mergeCell ref="U952:Z952"/>
    <mergeCell ref="U927:Z927"/>
    <mergeCell ref="G760:J760"/>
    <mergeCell ref="B738:F738"/>
    <mergeCell ref="I959:T959"/>
    <mergeCell ref="AE965:AK965"/>
    <mergeCell ref="C774:AR776"/>
    <mergeCell ref="F951:T951"/>
    <mergeCell ref="U951:Z951"/>
    <mergeCell ref="O784:S784"/>
    <mergeCell ref="O777:S780"/>
    <mergeCell ref="O799:S799"/>
    <mergeCell ref="A1070:AQ1070"/>
    <mergeCell ref="AF1026:AI1028"/>
    <mergeCell ref="AF1023:AI1024"/>
    <mergeCell ref="G750:J750"/>
    <mergeCell ref="G751:J751"/>
    <mergeCell ref="G752:J752"/>
    <mergeCell ref="G756:J756"/>
    <mergeCell ref="G757:J757"/>
    <mergeCell ref="G758:J758"/>
    <mergeCell ref="G759:J759"/>
    <mergeCell ref="K750:N750"/>
    <mergeCell ref="B752:F752"/>
    <mergeCell ref="B753:F753"/>
    <mergeCell ref="R994:AA994"/>
    <mergeCell ref="AJ994:AQ994"/>
    <mergeCell ref="AJ1022:AQ1024"/>
    <mergeCell ref="D1021:AE1021"/>
    <mergeCell ref="R997:AA997"/>
    <mergeCell ref="D999:Q999"/>
    <mergeCell ref="X1061:Y1061"/>
    <mergeCell ref="I1057:J1057"/>
    <mergeCell ref="F984:L984"/>
    <mergeCell ref="M885:V885"/>
    <mergeCell ref="W877:AC877"/>
    <mergeCell ref="W881:AC881"/>
    <mergeCell ref="AA945:AF945"/>
    <mergeCell ref="AA951:AF951"/>
    <mergeCell ref="M980:S980"/>
    <mergeCell ref="M965:S965"/>
    <mergeCell ref="AB966:AK966"/>
    <mergeCell ref="AA979:AG979"/>
    <mergeCell ref="AF1032:AI1033"/>
    <mergeCell ref="M979:S979"/>
    <mergeCell ref="AA980:AG980"/>
    <mergeCell ref="T981:Z981"/>
    <mergeCell ref="M984:S984"/>
    <mergeCell ref="AG1058:AH1058"/>
    <mergeCell ref="D1058:AE1058"/>
    <mergeCell ref="AG1034:AH1034"/>
    <mergeCell ref="AA982:AG982"/>
    <mergeCell ref="D1041:AE1041"/>
    <mergeCell ref="D1010:AE1010"/>
    <mergeCell ref="AB999:AI999"/>
    <mergeCell ref="D1003:AE1003"/>
    <mergeCell ref="D1009:AE1009"/>
    <mergeCell ref="D1038:AE1038"/>
    <mergeCell ref="B1000:AA1000"/>
    <mergeCell ref="AG1029:AH1029"/>
    <mergeCell ref="AJ1050:AQ1053"/>
    <mergeCell ref="D1039:AE1040"/>
    <mergeCell ref="B1002:AE1002"/>
    <mergeCell ref="AJ1038:AQ1040"/>
    <mergeCell ref="AJ996:AQ996"/>
    <mergeCell ref="AJ997:AQ997"/>
    <mergeCell ref="D1059:AE1060"/>
    <mergeCell ref="A988:AT990"/>
    <mergeCell ref="X1057:Y1057"/>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C1093:D1093"/>
    <mergeCell ref="C1094:D1094"/>
    <mergeCell ref="A1079:B1079"/>
    <mergeCell ref="C1098:D1098"/>
    <mergeCell ref="C1097:D1097"/>
    <mergeCell ref="C1091:D1091"/>
    <mergeCell ref="C1092:D1092"/>
    <mergeCell ref="A1074:B1074"/>
    <mergeCell ref="A1090:B1090"/>
    <mergeCell ref="A1084:B1084"/>
    <mergeCell ref="D1062:AI1062"/>
    <mergeCell ref="AJ1041:AQ1044"/>
    <mergeCell ref="AJ1003:AQ1009"/>
    <mergeCell ref="AJ1016:AQ1019"/>
    <mergeCell ref="D1031:AE1032"/>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6:D1096"/>
    <mergeCell ref="C1099:D1099"/>
    <mergeCell ref="C1100:D1100"/>
    <mergeCell ref="A1076:B1076"/>
    <mergeCell ref="A1106:B1106"/>
    <mergeCell ref="A1109:B1109"/>
  </mergeCells>
  <phoneticPr fontId="0" type="noConversion"/>
  <conditionalFormatting sqref="B1069:F1069 AO1069:AP1069">
    <cfRule type="expression" dxfId="107" priority="8">
      <formula>0=$B$1069</formula>
    </cfRule>
  </conditionalFormatting>
  <conditionalFormatting sqref="C563:C573 Q563:AS573 Q636:Z646 AC636:AS646">
    <cfRule type="expression" dxfId="106" priority="25">
      <formula>$AT563="!"</formula>
    </cfRule>
  </conditionalFormatting>
  <conditionalFormatting sqref="C636:C646">
    <cfRule type="expression" dxfId="105" priority="24">
      <formula>$AT636="!"</formula>
    </cfRule>
  </conditionalFormatting>
  <conditionalFormatting sqref="C903:T904">
    <cfRule type="expression" dxfId="104" priority="10">
      <formula>AND(AC903&lt;&gt;"",OR(C903="Other (Specify):",C903=""))</formula>
    </cfRule>
  </conditionalFormatting>
  <conditionalFormatting sqref="D213">
    <cfRule type="expression" dxfId="103" priority="266">
      <formula>AND($Q$212&gt;0,$T$212&lt;75%)</formula>
    </cfRule>
  </conditionalFormatting>
  <conditionalFormatting sqref="D216">
    <cfRule type="expression" dxfId="102" priority="33">
      <formula>NOT($D$211="At-Risk")</formula>
    </cfRule>
  </conditionalFormatting>
  <conditionalFormatting sqref="D215:U215">
    <cfRule type="expression" dxfId="101" priority="37">
      <formula>NOT(OR($D$214="Seniors",$D$211="Seniors"))</formula>
    </cfRule>
  </conditionalFormatting>
  <conditionalFormatting sqref="D214:Z214">
    <cfRule type="expression" dxfId="100" priority="267">
      <formula>AND($Q$212&gt;0,$T$212&lt;75%)</formula>
    </cfRule>
  </conditionalFormatting>
  <conditionalFormatting sqref="E715:AK715">
    <cfRule type="expression" dxfId="99" priority="23">
      <formula>AND($W$714="Other",OR($E$715="(specify here)",$E$715=""))</formula>
    </cfRule>
  </conditionalFormatting>
  <conditionalFormatting sqref="F839:L839">
    <cfRule type="expression" dxfId="98" priority="18">
      <formula>AND(OR(M839&lt;&gt;"",$Q$819&lt;&gt;"",$U$819&lt;&gt;"",$Y$819&lt;&gt;"",$AC$819&lt;&gt;"",$AG$819&lt;&gt;"",SUM($M$839:$AJ$839)&gt;0),OR(F839="(specify here)",F839=""))</formula>
    </cfRule>
  </conditionalFormatting>
  <conditionalFormatting sqref="F466:AB466">
    <cfRule type="expression" dxfId="97" priority="7">
      <formula>$AC$463=""</formula>
    </cfRule>
  </conditionalFormatting>
  <conditionalFormatting sqref="G1064:AN1069">
    <cfRule type="expression" dxfId="96" priority="4">
      <formula>OR($Z$205="15% set-aside",$Z$205="15% set-aside with qualifying low value rehab")</formula>
    </cfRule>
  </conditionalFormatting>
  <conditionalFormatting sqref="L516:X516">
    <cfRule type="expression" dxfId="95" priority="32">
      <formula>AND(NOT(AC516="N/A"),AH516&lt;&gt;"",OR(L516="(specify here)",L516=""))</formula>
    </cfRule>
  </conditionalFormatting>
  <conditionalFormatting sqref="M854:V854">
    <cfRule type="expression" dxfId="94" priority="17">
      <formula>AND(W854&lt;&gt;"",OR(M854="(specify here)",M854=""))</formula>
    </cfRule>
  </conditionalFormatting>
  <conditionalFormatting sqref="M869:V869">
    <cfRule type="expression" dxfId="93" priority="16">
      <formula>AND(W869&lt;&gt;"",OR(M869="(specify here)",M869=""))</formula>
    </cfRule>
  </conditionalFormatting>
  <conditionalFormatting sqref="M880:V880">
    <cfRule type="expression" dxfId="92" priority="15">
      <formula>AND(W880&lt;&gt;"",OR(M880="(specify here)",M880=""))</formula>
    </cfRule>
  </conditionalFormatting>
  <conditionalFormatting sqref="M883:V887">
    <cfRule type="expression" dxfId="91" priority="14">
      <formula>AND(W883&lt;&gt;"",OR(M883="(specify here)",M883=""))</formula>
    </cfRule>
  </conditionalFormatting>
  <conditionalFormatting sqref="O528:AA528">
    <cfRule type="expression" dxfId="90" priority="31">
      <formula>AND(OR(AND(NOT(AC528="N/A"),AH528&lt;&gt;""),AND(NOT(AC529="N/A"),AH529&lt;&gt;""),AND(NOT(AC530="N/A"),AH530&lt;&gt;"")),OR(O528="(specify here)",O528=""))</formula>
    </cfRule>
  </conditionalFormatting>
  <conditionalFormatting sqref="O531:AA531">
    <cfRule type="expression" dxfId="89" priority="30">
      <formula>AND(OR(AND(NOT(AC531="N/A"),AH531&lt;&gt;""),AND(NOT(AC532="N/A"),AH532&lt;&gt;""),AND(NOT(AC533="N/A"),AH533&lt;&gt;"")),OR(O531="(specify here)",O531=""))</formula>
    </cfRule>
  </conditionalFormatting>
  <conditionalFormatting sqref="O534:AA534">
    <cfRule type="expression" dxfId="88" priority="29">
      <formula>AND(OR(AND(NOT(AC534="N/A"),AH534&lt;&gt;""),AND(NOT(AC535="N/A"),AH535&lt;&gt;""),AND(NOT(AC536="N/A"),AH536&lt;&gt;"")),OR(O534="(specify here)",O534=""))</formula>
    </cfRule>
  </conditionalFormatting>
  <conditionalFormatting sqref="O537:AA537">
    <cfRule type="expression" dxfId="87" priority="28">
      <formula>AND(OR(AND(NOT(AC537="N/A"),AH537&lt;&gt;""),AND(NOT(AC538="N/A"),AH538&lt;&gt;""),AND(NOT(AC539="N/A"),AH539&lt;&gt;"")),OR(O537="(specify here)",O537=""))</formula>
    </cfRule>
  </conditionalFormatting>
  <conditionalFormatting sqref="O540:AA540">
    <cfRule type="expression" dxfId="86" priority="27">
      <formula>AND(OR(AND(NOT(AC540="N/A"),AH540&lt;&gt;""),AND(NOT(AC541="N/A"),AH541&lt;&gt;""),AND(NOT(AC542="N/A"),AH542&lt;&gt;"")),OR(O540="(specify here)",O540=""))</formula>
    </cfRule>
  </conditionalFormatting>
  <conditionalFormatting sqref="O543:AA543">
    <cfRule type="expression" dxfId="85" priority="26">
      <formula>AND(OR(AND(NOT(AC543="N/A"),AH543&lt;&gt;""),AND(NOT(AC544="N/A"),AH544&lt;&gt;""),AND(NOT(AC545="N/A"),AH545&lt;&gt;"")),OR(O543="(specify here)",O543=""))</formula>
    </cfRule>
  </conditionalFormatting>
  <conditionalFormatting sqref="P824:Y824">
    <cfRule type="expression" dxfId="84" priority="19">
      <formula>AND(Z824&lt;&gt;"",OR(P824="(specify here)",P824=""))</formula>
    </cfRule>
  </conditionalFormatting>
  <conditionalFormatting sqref="T212:U212">
    <cfRule type="expression" dxfId="83" priority="6">
      <formula>AND($T$212=0,$Q$212="")</formula>
    </cfRule>
  </conditionalFormatting>
  <conditionalFormatting sqref="U903:U904">
    <cfRule type="expression" dxfId="82" priority="263">
      <formula>AND(AU887&lt;&gt;"",OR(U903="Other (Specify):",U903=""))</formula>
    </cfRule>
  </conditionalFormatting>
  <conditionalFormatting sqref="V903:AB904">
    <cfRule type="expression" dxfId="81" priority="264">
      <formula>AND(AV897&lt;&gt;"",OR(V903="Other (Specify):",V903=""))</formula>
    </cfRule>
  </conditionalFormatting>
  <conditionalFormatting sqref="W983:AG983">
    <cfRule type="expression" dxfId="80" priority="9">
      <formula>AND($AA$962&lt;&gt;"",OR($W$961="",$W$961="(specify here)"))</formula>
    </cfRule>
  </conditionalFormatting>
  <conditionalFormatting sqref="Y224">
    <cfRule type="expression" dxfId="79" priority="1">
      <formula>$AC$463=""</formula>
    </cfRule>
  </conditionalFormatting>
  <conditionalFormatting sqref="Y516:AB516">
    <cfRule type="expression" dxfId="78" priority="265">
      <formula>AND(NOT(AP516="N/A"),AU515&lt;&gt;"",OR(Y516="(specify here)",Y516=""))</formula>
    </cfRule>
  </conditionalFormatting>
  <conditionalFormatting sqref="AA927:AF927">
    <cfRule type="expression" dxfId="77" priority="3">
      <formula>NOT($AA$927=$AW$927)</formula>
    </cfRule>
  </conditionalFormatting>
  <conditionalFormatting sqref="AA1066:AF1066">
    <cfRule type="expression" dxfId="76" priority="5">
      <formula>OR($Z$205="15% set-aside",$Z$205="15% set-aside with qualifying low value rehab")</formula>
    </cfRule>
  </conditionalFormatting>
  <conditionalFormatting sqref="AA215:AO215">
    <cfRule type="expression" dxfId="75" priority="38">
      <formula>NOT(OR($D$214="Seniors",$D$211="Seniors"))</formula>
    </cfRule>
  </conditionalFormatting>
  <conditionalFormatting sqref="AB216:AM216">
    <cfRule type="expression" dxfId="74" priority="34">
      <formula>NOT($D$211="At-Risk")</formula>
    </cfRule>
  </conditionalFormatting>
  <conditionalFormatting sqref="AF1030">
    <cfRule type="cellIs" dxfId="73" priority="44" stopIfTrue="1" operator="equal">
      <formula>"Please Enter Amount:"</formula>
    </cfRule>
  </conditionalFormatting>
  <conditionalFormatting sqref="AF1035">
    <cfRule type="cellIs" dxfId="72" priority="41" stopIfTrue="1" operator="equal">
      <formula>"Please Enter Amount:"</formula>
    </cfRule>
  </conditionalFormatting>
  <conditionalFormatting sqref="AF1042">
    <cfRule type="cellIs" dxfId="71" priority="42" stopIfTrue="1" operator="equal">
      <formula>"Please Enter Amount:"</formula>
    </cfRule>
  </conditionalFormatting>
  <conditionalFormatting sqref="AG450:AJ450">
    <cfRule type="expression" dxfId="70" priority="48" stopIfTrue="1">
      <formula>"iserror(d31)"</formula>
    </cfRule>
  </conditionalFormatting>
  <conditionalFormatting sqref="AJ1054">
    <cfRule type="cellIs" dxfId="69" priority="47" stopIfTrue="1" operator="equal">
      <formula>"#DIV/0!"</formula>
    </cfRule>
  </conditionalFormatting>
  <conditionalFormatting sqref="AX305:BT306">
    <cfRule type="expression" dxfId="68"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7" right="0.7" top="0.75" bottom="0.75" header="0.3" footer="0.3"/>
  <pageSetup scale="68" fitToHeight="0"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0" zoomScaleNormal="100" workbookViewId="0">
      <selection activeCell="F88" sqref="F88"/>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72" t="s">
        <v>620</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Application!B635&amp;Application!C635</f>
        <v xml:space="preserve">1)CalHFA Perm Loan </v>
      </c>
      <c r="G2" s="139" t="str">
        <f>Application!B636&amp;Application!C636</f>
        <v xml:space="preserve">2)CalHFA Perm Loan </v>
      </c>
      <c r="H2" s="139" t="str">
        <f>Application!B637&amp;Application!C637</f>
        <v>3)CalHFA-MIP</v>
      </c>
      <c r="I2" s="139" t="str">
        <f>Application!B638&amp;Application!C638</f>
        <v>4)R2H Development - Deferred Developer Fee</v>
      </c>
      <c r="J2" s="139" t="str">
        <f>Application!B639&amp;Application!C639</f>
        <v>5)</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4990000</v>
      </c>
      <c r="C4" s="147">
        <v>4990000</v>
      </c>
      <c r="D4" s="147"/>
      <c r="E4" s="147">
        <f>C4-SUM(F4:Q4)</f>
        <v>0</v>
      </c>
      <c r="F4" s="147">
        <f>C4</f>
        <v>4990000</v>
      </c>
      <c r="G4" s="147"/>
      <c r="H4" s="147"/>
      <c r="I4" s="147"/>
      <c r="J4" s="147"/>
      <c r="K4" s="147"/>
      <c r="L4" s="147"/>
      <c r="M4" s="147"/>
      <c r="N4" s="147"/>
      <c r="O4" s="147"/>
      <c r="P4" s="147"/>
      <c r="Q4" s="147"/>
      <c r="R4" s="516">
        <f>SUM(E4:Q4)</f>
        <v>4990000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4990000</v>
      </c>
      <c r="C8" s="146">
        <f t="shared" ref="C8:Q8" si="0">SUM(C4:C7)</f>
        <v>4990000</v>
      </c>
      <c r="D8" s="146">
        <f t="shared" si="0"/>
        <v>0</v>
      </c>
      <c r="E8" s="146">
        <f t="shared" si="0"/>
        <v>0</v>
      </c>
      <c r="F8" s="146">
        <f t="shared" si="0"/>
        <v>4990000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4990000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4990000</v>
      </c>
      <c r="C12" s="146">
        <f t="shared" si="2"/>
        <v>4990000</v>
      </c>
      <c r="D12" s="146">
        <f t="shared" si="2"/>
        <v>0</v>
      </c>
      <c r="E12" s="146">
        <f t="shared" si="2"/>
        <v>0</v>
      </c>
      <c r="F12" s="146">
        <f t="shared" si="2"/>
        <v>4990000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4990000</v>
      </c>
      <c r="S12" s="148"/>
      <c r="T12" s="148"/>
      <c r="U12" s="143"/>
    </row>
    <row r="13" spans="1:21" s="144" customFormat="1">
      <c r="A13" s="287" t="s">
        <v>901</v>
      </c>
      <c r="B13" s="146">
        <f>SUM(C13+D13)</f>
        <v>20000</v>
      </c>
      <c r="C13" s="147">
        <v>20000</v>
      </c>
      <c r="D13" s="147"/>
      <c r="E13" s="147">
        <f>C13-SUM(F13:Q13)</f>
        <v>20000</v>
      </c>
      <c r="F13" s="147"/>
      <c r="G13" s="147"/>
      <c r="H13" s="147"/>
      <c r="I13" s="147"/>
      <c r="J13" s="147"/>
      <c r="K13" s="147"/>
      <c r="L13" s="147"/>
      <c r="M13" s="147"/>
      <c r="N13" s="147"/>
      <c r="O13" s="147"/>
      <c r="P13" s="147"/>
      <c r="Q13" s="147"/>
      <c r="R13" s="516">
        <f>SUM(E13:Q13)</f>
        <v>20000</v>
      </c>
      <c r="S13" s="147"/>
      <c r="T13" s="147"/>
      <c r="U13" s="143"/>
    </row>
    <row r="14" spans="1:21" s="144" customFormat="1" ht="24">
      <c r="A14" s="288" t="s">
        <v>1631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900000</v>
      </c>
      <c r="C29" s="147">
        <v>900000</v>
      </c>
      <c r="D29" s="147"/>
      <c r="E29" s="147">
        <f>C29-SUM(F29:Q29)</f>
        <v>0</v>
      </c>
      <c r="F29" s="147">
        <f>C29</f>
        <v>900000</v>
      </c>
      <c r="G29" s="147"/>
      <c r="H29" s="147"/>
      <c r="I29" s="147"/>
      <c r="J29" s="147"/>
      <c r="K29" s="147"/>
      <c r="L29" s="147"/>
      <c r="M29" s="147"/>
      <c r="N29" s="147"/>
      <c r="O29" s="147"/>
      <c r="P29" s="147"/>
      <c r="Q29" s="147"/>
      <c r="R29" s="516">
        <f t="shared" ref="R29:R37" si="7">SUM(E29:Q29)</f>
        <v>900000</v>
      </c>
      <c r="S29" s="147">
        <v>900000</v>
      </c>
      <c r="T29" s="147"/>
      <c r="U29" s="143"/>
    </row>
    <row r="30" spans="1:21" s="144" customFormat="1">
      <c r="A30" s="145" t="s">
        <v>598</v>
      </c>
      <c r="B30" s="146">
        <f t="shared" si="6"/>
        <v>25060000</v>
      </c>
      <c r="C30" s="147">
        <f>25060000</f>
        <v>25060000</v>
      </c>
      <c r="D30" s="147"/>
      <c r="E30" s="147">
        <f t="shared" ref="E30:E37" si="8">C30-SUM(F30:Q30)</f>
        <v>0</v>
      </c>
      <c r="F30" s="147">
        <f>C30-SUM(G30:Q30)</f>
        <v>4406984</v>
      </c>
      <c r="G30" s="147">
        <f>G108</f>
        <v>14653016</v>
      </c>
      <c r="H30" s="147">
        <f>H108</f>
        <v>6000000</v>
      </c>
      <c r="I30" s="147"/>
      <c r="J30" s="147"/>
      <c r="K30" s="147"/>
      <c r="L30" s="147"/>
      <c r="M30" s="147"/>
      <c r="N30" s="147"/>
      <c r="O30" s="147"/>
      <c r="P30" s="147"/>
      <c r="Q30" s="147"/>
      <c r="R30" s="516">
        <f t="shared" si="7"/>
        <v>25060000</v>
      </c>
      <c r="S30" s="147">
        <f>C30-146050</f>
        <v>24913950</v>
      </c>
      <c r="T30" s="147"/>
      <c r="U30" s="143"/>
    </row>
    <row r="31" spans="1:21" s="144" customFormat="1">
      <c r="A31" s="145" t="s">
        <v>599</v>
      </c>
      <c r="B31" s="146">
        <f t="shared" si="6"/>
        <v>826000</v>
      </c>
      <c r="C31" s="147">
        <v>826000</v>
      </c>
      <c r="D31" s="147"/>
      <c r="E31" s="147">
        <f t="shared" si="8"/>
        <v>0</v>
      </c>
      <c r="F31" s="147">
        <f>C31</f>
        <v>826000</v>
      </c>
      <c r="G31" s="147"/>
      <c r="H31" s="147"/>
      <c r="I31" s="147"/>
      <c r="J31" s="147"/>
      <c r="K31" s="147"/>
      <c r="L31" s="147"/>
      <c r="M31" s="147"/>
      <c r="N31" s="147"/>
      <c r="O31" s="147"/>
      <c r="P31" s="147"/>
      <c r="Q31" s="147"/>
      <c r="R31" s="516">
        <f t="shared" si="7"/>
        <v>826000</v>
      </c>
      <c r="S31" s="147">
        <f>C31</f>
        <v>826000</v>
      </c>
      <c r="T31" s="147"/>
      <c r="U31" s="143"/>
    </row>
    <row r="32" spans="1:21" s="144" customFormat="1">
      <c r="A32" s="145" t="s">
        <v>137</v>
      </c>
      <c r="B32" s="146">
        <f>SUM(C32+D32)</f>
        <v>537720</v>
      </c>
      <c r="C32" s="147">
        <v>537720</v>
      </c>
      <c r="D32" s="147"/>
      <c r="E32" s="147">
        <f t="shared" si="8"/>
        <v>421374</v>
      </c>
      <c r="F32" s="147">
        <f>F108-F93-F31-F30-F4-F29</f>
        <v>116346</v>
      </c>
      <c r="G32" s="147"/>
      <c r="H32" s="147"/>
      <c r="I32" s="147"/>
      <c r="J32" s="147"/>
      <c r="K32" s="147"/>
      <c r="L32" s="147"/>
      <c r="M32" s="147"/>
      <c r="N32" s="147"/>
      <c r="O32" s="147"/>
      <c r="P32" s="147"/>
      <c r="Q32" s="147"/>
      <c r="R32" s="516">
        <f t="shared" si="7"/>
        <v>537720</v>
      </c>
      <c r="S32" s="147">
        <f>C32</f>
        <v>537720</v>
      </c>
      <c r="T32" s="147"/>
      <c r="U32" s="143"/>
    </row>
    <row r="33" spans="1:21" s="144" customFormat="1">
      <c r="A33" s="145" t="s">
        <v>138</v>
      </c>
      <c r="B33" s="146">
        <f>SUM(C33+D33)</f>
        <v>962280</v>
      </c>
      <c r="C33" s="147">
        <v>962280</v>
      </c>
      <c r="D33" s="147"/>
      <c r="E33" s="147">
        <f t="shared" si="8"/>
        <v>962280</v>
      </c>
      <c r="F33" s="147"/>
      <c r="G33" s="147"/>
      <c r="H33" s="147"/>
      <c r="I33" s="147"/>
      <c r="J33" s="147"/>
      <c r="K33" s="147"/>
      <c r="L33" s="147"/>
      <c r="M33" s="147"/>
      <c r="N33" s="147"/>
      <c r="O33" s="147"/>
      <c r="P33" s="147"/>
      <c r="Q33" s="147"/>
      <c r="R33" s="516">
        <f t="shared" si="7"/>
        <v>962280</v>
      </c>
      <c r="S33" s="147">
        <f>C33</f>
        <v>962280</v>
      </c>
      <c r="T33" s="147"/>
      <c r="U33" s="143"/>
    </row>
    <row r="34" spans="1:21" s="144" customFormat="1">
      <c r="A34" s="145" t="s">
        <v>139</v>
      </c>
      <c r="B34" s="146" t="e">
        <f>SUM(#REF!+D34)</f>
        <v>#REF!</v>
      </c>
      <c r="C34" s="147">
        <v>0</v>
      </c>
      <c r="D34" s="147"/>
      <c r="E34" s="147">
        <f t="shared" si="8"/>
        <v>0</v>
      </c>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SUM(C35+D35)</f>
        <v>627707</v>
      </c>
      <c r="C35" s="147">
        <v>627707</v>
      </c>
      <c r="D35" s="147"/>
      <c r="E35" s="147">
        <f t="shared" si="8"/>
        <v>627707</v>
      </c>
      <c r="F35" s="147"/>
      <c r="G35" s="147"/>
      <c r="H35" s="147"/>
      <c r="I35" s="147"/>
      <c r="J35" s="147"/>
      <c r="K35" s="147"/>
      <c r="L35" s="147"/>
      <c r="M35" s="147"/>
      <c r="N35" s="147"/>
      <c r="O35" s="147"/>
      <c r="P35" s="147"/>
      <c r="Q35" s="147"/>
      <c r="R35" s="516">
        <f t="shared" si="7"/>
        <v>627707</v>
      </c>
      <c r="S35" s="147">
        <f>C35</f>
        <v>627707</v>
      </c>
      <c r="T35" s="147"/>
      <c r="U35" s="143"/>
    </row>
    <row r="36" spans="1:21" s="144" customFormat="1">
      <c r="A36" s="283" t="s">
        <v>1628</v>
      </c>
      <c r="B36" s="146">
        <f t="shared" si="6"/>
        <v>400000</v>
      </c>
      <c r="C36" s="147">
        <v>400000</v>
      </c>
      <c r="D36" s="147"/>
      <c r="E36" s="147">
        <f t="shared" si="8"/>
        <v>400000</v>
      </c>
      <c r="F36" s="147"/>
      <c r="G36" s="147"/>
      <c r="H36" s="147"/>
      <c r="I36" s="147"/>
      <c r="J36" s="147"/>
      <c r="K36" s="147"/>
      <c r="L36" s="147"/>
      <c r="M36" s="147"/>
      <c r="N36" s="147"/>
      <c r="O36" s="147"/>
      <c r="P36" s="147"/>
      <c r="Q36" s="147"/>
      <c r="R36" s="516">
        <f t="shared" si="7"/>
        <v>400000</v>
      </c>
      <c r="S36" s="147">
        <f>C36</f>
        <v>400000</v>
      </c>
      <c r="T36" s="147"/>
      <c r="U36" s="143"/>
    </row>
    <row r="37" spans="1:21" s="144" customFormat="1">
      <c r="A37" s="1143" t="s">
        <v>2710</v>
      </c>
      <c r="B37" s="146">
        <f t="shared" si="6"/>
        <v>100000</v>
      </c>
      <c r="C37" s="147">
        <v>100000</v>
      </c>
      <c r="D37" s="147"/>
      <c r="E37" s="147">
        <f t="shared" si="8"/>
        <v>100000</v>
      </c>
      <c r="F37" s="147"/>
      <c r="G37" s="147"/>
      <c r="H37" s="147"/>
      <c r="I37" s="147"/>
      <c r="J37" s="147"/>
      <c r="K37" s="147"/>
      <c r="L37" s="147"/>
      <c r="M37" s="147"/>
      <c r="N37" s="147"/>
      <c r="O37" s="147"/>
      <c r="P37" s="147"/>
      <c r="Q37" s="147"/>
      <c r="R37" s="516">
        <f t="shared" si="7"/>
        <v>100000</v>
      </c>
      <c r="S37" s="147"/>
      <c r="T37" s="147"/>
      <c r="U37" s="143"/>
    </row>
    <row r="38" spans="1:21" s="144" customFormat="1">
      <c r="A38" s="149" t="s">
        <v>143</v>
      </c>
      <c r="B38" s="146">
        <f t="shared" si="6"/>
        <v>29413707</v>
      </c>
      <c r="C38" s="146">
        <f>SUM(C29:C37)</f>
        <v>29413707</v>
      </c>
      <c r="D38" s="146">
        <f t="shared" ref="D38:Q38" si="9">SUM(D29:D37)</f>
        <v>0</v>
      </c>
      <c r="E38" s="146">
        <f t="shared" si="9"/>
        <v>2511361</v>
      </c>
      <c r="F38" s="146">
        <f t="shared" si="9"/>
        <v>6249330</v>
      </c>
      <c r="G38" s="146">
        <f t="shared" si="9"/>
        <v>14653016</v>
      </c>
      <c r="H38" s="146">
        <f t="shared" si="9"/>
        <v>6000000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2">
        <f>SUM(R29:R37)</f>
        <v>29413707</v>
      </c>
      <c r="S38" s="150">
        <f>SUM(S29:S37)</f>
        <v>29167657</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650000</v>
      </c>
      <c r="C40" s="147">
        <v>650000</v>
      </c>
      <c r="D40" s="147"/>
      <c r="E40" s="147">
        <f>C40-SUM(F40:Q40)</f>
        <v>650000</v>
      </c>
      <c r="F40" s="147"/>
      <c r="G40" s="147"/>
      <c r="H40" s="147"/>
      <c r="I40" s="147"/>
      <c r="J40" s="147"/>
      <c r="K40" s="147"/>
      <c r="L40" s="147"/>
      <c r="M40" s="147"/>
      <c r="N40" s="147"/>
      <c r="O40" s="147"/>
      <c r="P40" s="147"/>
      <c r="Q40" s="147"/>
      <c r="R40" s="516">
        <f>SUM(E40:Q40)</f>
        <v>650000</v>
      </c>
      <c r="S40" s="147">
        <f>C40</f>
        <v>650000</v>
      </c>
      <c r="T40" s="147"/>
      <c r="U40" s="143"/>
    </row>
    <row r="41" spans="1:21" s="144" customFormat="1">
      <c r="A41" s="145" t="s">
        <v>146</v>
      </c>
      <c r="B41" s="146">
        <f>SUM(C41+D41)</f>
        <v>100000</v>
      </c>
      <c r="C41" s="147">
        <v>100000</v>
      </c>
      <c r="D41" s="147"/>
      <c r="E41" s="147">
        <f>C41-SUM(F41:Q41)</f>
        <v>100000</v>
      </c>
      <c r="F41" s="147"/>
      <c r="G41" s="147"/>
      <c r="H41" s="147"/>
      <c r="I41" s="147"/>
      <c r="J41" s="147"/>
      <c r="K41" s="147"/>
      <c r="L41" s="147"/>
      <c r="M41" s="147"/>
      <c r="N41" s="147"/>
      <c r="O41" s="147"/>
      <c r="P41" s="147"/>
      <c r="Q41" s="147"/>
      <c r="R41" s="516">
        <f>SUM(E41:Q41)</f>
        <v>100000</v>
      </c>
      <c r="S41" s="147">
        <f>C41</f>
        <v>100000</v>
      </c>
      <c r="T41" s="147"/>
      <c r="U41" s="143"/>
    </row>
    <row r="42" spans="1:21" s="144" customFormat="1">
      <c r="A42" s="149" t="s">
        <v>147</v>
      </c>
      <c r="B42" s="146">
        <f>SUM(C42:D42)</f>
        <v>750000</v>
      </c>
      <c r="C42" s="146">
        <f>SUM(C39:C41)</f>
        <v>750000</v>
      </c>
      <c r="D42" s="146">
        <f>SUM(D39:D41)</f>
        <v>0</v>
      </c>
      <c r="E42" s="146">
        <f t="shared" ref="E42:T42" si="10">SUM(E40:E41)</f>
        <v>750000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2">
        <f>SUM(R40:R41)</f>
        <v>750000</v>
      </c>
      <c r="S42" s="150">
        <f t="shared" si="10"/>
        <v>750000</v>
      </c>
      <c r="T42" s="150">
        <f t="shared" si="10"/>
        <v>0</v>
      </c>
      <c r="U42" s="143"/>
    </row>
    <row r="43" spans="1:21" s="144" customFormat="1">
      <c r="A43" s="149" t="s">
        <v>148</v>
      </c>
      <c r="B43" s="146">
        <f>SUM(C43:D43)</f>
        <v>0</v>
      </c>
      <c r="C43" s="147">
        <v>0</v>
      </c>
      <c r="D43" s="147"/>
      <c r="E43" s="147">
        <f>C43-SUM(F43:Q43)</f>
        <v>0</v>
      </c>
      <c r="F43" s="147"/>
      <c r="G43" s="147"/>
      <c r="H43" s="147"/>
      <c r="I43" s="147"/>
      <c r="J43" s="147"/>
      <c r="K43" s="147"/>
      <c r="L43" s="147"/>
      <c r="M43" s="147"/>
      <c r="N43" s="147"/>
      <c r="O43" s="147"/>
      <c r="P43" s="147"/>
      <c r="Q43" s="147"/>
      <c r="R43" s="516">
        <f>SUM(E43:Q43)</f>
        <v>0</v>
      </c>
      <c r="S43" s="147">
        <f>C43</f>
        <v>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5201044</v>
      </c>
      <c r="C45" s="147">
        <f>5201043+1</f>
        <v>5201044</v>
      </c>
      <c r="D45" s="147"/>
      <c r="E45" s="147">
        <f>C45-SUM(F45:Q45)</f>
        <v>5201044</v>
      </c>
      <c r="F45" s="147"/>
      <c r="G45" s="147"/>
      <c r="H45" s="147"/>
      <c r="I45" s="147"/>
      <c r="J45" s="147"/>
      <c r="K45" s="147"/>
      <c r="L45" s="147"/>
      <c r="M45" s="147"/>
      <c r="N45" s="147"/>
      <c r="O45" s="147"/>
      <c r="P45" s="147"/>
      <c r="Q45" s="147"/>
      <c r="R45" s="516">
        <f t="shared" ref="R45:R53" si="12">SUM(E45:Q45)</f>
        <v>5201044</v>
      </c>
      <c r="S45" s="147">
        <v>3551809</v>
      </c>
      <c r="T45" s="147"/>
      <c r="U45" s="143"/>
    </row>
    <row r="46" spans="1:21" s="144" customFormat="1">
      <c r="A46" s="145" t="s">
        <v>151</v>
      </c>
      <c r="B46" s="146">
        <f t="shared" si="11"/>
        <v>477453</v>
      </c>
      <c r="C46" s="147">
        <v>477453</v>
      </c>
      <c r="D46" s="147"/>
      <c r="E46" s="147">
        <f>C46-SUM(F46:Q46)</f>
        <v>477453</v>
      </c>
      <c r="F46" s="147"/>
      <c r="G46" s="147"/>
      <c r="H46" s="147"/>
      <c r="I46" s="147"/>
      <c r="J46" s="147"/>
      <c r="K46" s="147"/>
      <c r="L46" s="147"/>
      <c r="M46" s="147"/>
      <c r="N46" s="147"/>
      <c r="O46" s="147"/>
      <c r="P46" s="147"/>
      <c r="Q46" s="147"/>
      <c r="R46" s="516">
        <f t="shared" si="12"/>
        <v>477453</v>
      </c>
      <c r="S46" s="147">
        <v>326054</v>
      </c>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6">
        <f t="shared" si="12"/>
        <v>0</v>
      </c>
      <c r="S47" s="147"/>
      <c r="T47" s="147"/>
      <c r="U47" s="143"/>
    </row>
    <row r="48" spans="1:21" s="144" customFormat="1">
      <c r="A48" s="145" t="s">
        <v>153</v>
      </c>
      <c r="B48" s="146">
        <f t="shared" si="11"/>
        <v>460746</v>
      </c>
      <c r="C48" s="147">
        <f>310746+150000</f>
        <v>460746</v>
      </c>
      <c r="D48" s="147"/>
      <c r="E48" s="147">
        <f>C48-SUM(F48:Q48)</f>
        <v>460746</v>
      </c>
      <c r="F48" s="147"/>
      <c r="G48" s="147"/>
      <c r="H48" s="147"/>
      <c r="I48" s="147"/>
      <c r="J48" s="147"/>
      <c r="K48" s="147"/>
      <c r="L48" s="147"/>
      <c r="M48" s="147"/>
      <c r="N48" s="147"/>
      <c r="O48" s="147"/>
      <c r="P48" s="147"/>
      <c r="Q48" s="147"/>
      <c r="R48" s="516">
        <f t="shared" si="12"/>
        <v>460746</v>
      </c>
      <c r="S48" s="147">
        <f>C48</f>
        <v>460746</v>
      </c>
      <c r="T48" s="147"/>
      <c r="U48" s="143"/>
    </row>
    <row r="49" spans="1:21" s="144" customFormat="1">
      <c r="A49" s="145" t="s">
        <v>57</v>
      </c>
      <c r="B49" s="146">
        <f t="shared" si="11"/>
        <v>932993</v>
      </c>
      <c r="C49" s="147">
        <v>932993</v>
      </c>
      <c r="D49" s="147"/>
      <c r="E49" s="147">
        <f>C49-SUM(F49:Q49)</f>
        <v>932993</v>
      </c>
      <c r="F49" s="147"/>
      <c r="G49" s="147"/>
      <c r="H49" s="147"/>
      <c r="I49" s="147"/>
      <c r="J49" s="147"/>
      <c r="K49" s="147"/>
      <c r="L49" s="147"/>
      <c r="M49" s="147"/>
      <c r="N49" s="147"/>
      <c r="O49" s="147"/>
      <c r="P49" s="147"/>
      <c r="Q49" s="147"/>
      <c r="R49" s="516">
        <f t="shared" si="12"/>
        <v>932993</v>
      </c>
      <c r="S49" s="147">
        <v>371054</v>
      </c>
      <c r="T49" s="147"/>
      <c r="U49" s="143"/>
    </row>
    <row r="50" spans="1:21" s="144" customFormat="1">
      <c r="A50" s="145" t="s">
        <v>156</v>
      </c>
      <c r="B50" s="146">
        <f t="shared" si="11"/>
        <v>50000</v>
      </c>
      <c r="C50" s="147">
        <v>50000</v>
      </c>
      <c r="D50" s="147"/>
      <c r="E50" s="147">
        <f>C50-SUM(F50:Q50)</f>
        <v>50000</v>
      </c>
      <c r="F50" s="147"/>
      <c r="G50" s="147"/>
      <c r="H50" s="147"/>
      <c r="I50" s="147"/>
      <c r="J50" s="147"/>
      <c r="K50" s="147"/>
      <c r="L50" s="147"/>
      <c r="M50" s="147"/>
      <c r="N50" s="147"/>
      <c r="O50" s="147"/>
      <c r="P50" s="147"/>
      <c r="Q50" s="147"/>
      <c r="R50" s="516">
        <f t="shared" si="12"/>
        <v>50000</v>
      </c>
      <c r="S50" s="147">
        <v>25000</v>
      </c>
      <c r="T50" s="147"/>
      <c r="U50" s="143"/>
    </row>
    <row r="51" spans="1:21" s="144" customFormat="1">
      <c r="A51" s="283" t="s">
        <v>154</v>
      </c>
      <c r="B51" s="146">
        <f t="shared" si="11"/>
        <v>0</v>
      </c>
      <c r="C51" s="147"/>
      <c r="D51" s="147"/>
      <c r="E51" s="147"/>
      <c r="F51" s="147"/>
      <c r="G51" s="147"/>
      <c r="H51" s="147"/>
      <c r="I51" s="147"/>
      <c r="J51" s="147"/>
      <c r="K51" s="147"/>
      <c r="L51" s="147"/>
      <c r="M51" s="147"/>
      <c r="N51" s="147"/>
      <c r="O51" s="147"/>
      <c r="P51" s="147"/>
      <c r="Q51" s="147"/>
      <c r="R51" s="516">
        <f t="shared" si="12"/>
        <v>0</v>
      </c>
      <c r="S51" s="147"/>
      <c r="T51" s="147"/>
      <c r="U51" s="143"/>
    </row>
    <row r="52" spans="1:21" s="144" customFormat="1">
      <c r="A52" s="145" t="s">
        <v>155</v>
      </c>
      <c r="B52" s="146">
        <f t="shared" si="11"/>
        <v>0</v>
      </c>
      <c r="C52" s="147"/>
      <c r="D52" s="147"/>
      <c r="E52" s="147"/>
      <c r="F52" s="147"/>
      <c r="G52" s="147"/>
      <c r="H52" s="147"/>
      <c r="I52" s="147"/>
      <c r="J52" s="147"/>
      <c r="K52" s="147"/>
      <c r="L52" s="147"/>
      <c r="M52" s="147"/>
      <c r="N52" s="147"/>
      <c r="O52" s="147"/>
      <c r="P52" s="147"/>
      <c r="Q52" s="147"/>
      <c r="R52" s="516">
        <f t="shared" si="12"/>
        <v>0</v>
      </c>
      <c r="S52" s="147"/>
      <c r="T52" s="147"/>
      <c r="U52" s="143"/>
    </row>
    <row r="53" spans="1:21" s="144" customFormat="1">
      <c r="A53" s="1143" t="s">
        <v>34</v>
      </c>
      <c r="B53" s="146">
        <f t="shared" si="11"/>
        <v>0</v>
      </c>
      <c r="C53" s="147"/>
      <c r="D53" s="147"/>
      <c r="E53" s="147"/>
      <c r="F53" s="147"/>
      <c r="G53" s="147"/>
      <c r="H53" s="147"/>
      <c r="I53" s="147"/>
      <c r="J53" s="147"/>
      <c r="K53" s="147"/>
      <c r="L53" s="147"/>
      <c r="M53" s="147"/>
      <c r="N53" s="147"/>
      <c r="O53" s="147"/>
      <c r="P53" s="147"/>
      <c r="Q53" s="147"/>
      <c r="R53" s="516">
        <f t="shared" si="12"/>
        <v>0</v>
      </c>
      <c r="S53" s="147">
        <f>C53</f>
        <v>0</v>
      </c>
      <c r="T53" s="147"/>
      <c r="U53" s="143"/>
    </row>
    <row r="54" spans="1:21" s="153" customFormat="1">
      <c r="A54" s="149" t="s">
        <v>157</v>
      </c>
      <c r="B54" s="150">
        <f>SUM(C54:D54)</f>
        <v>7122236</v>
      </c>
      <c r="C54" s="150">
        <f t="shared" ref="C54:T54" si="13">SUM(C45:C53)</f>
        <v>7122236</v>
      </c>
      <c r="D54" s="150">
        <f t="shared" si="13"/>
        <v>0</v>
      </c>
      <c r="E54" s="150">
        <f>SUM(E45:E53)</f>
        <v>7122236</v>
      </c>
      <c r="F54" s="150">
        <f>SUM(F45:F53)</f>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42">
        <f t="shared" si="13"/>
        <v>7122236</v>
      </c>
      <c r="S54" s="150">
        <f t="shared" si="13"/>
        <v>4734663</v>
      </c>
      <c r="T54" s="150">
        <f t="shared" si="13"/>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626020</v>
      </c>
      <c r="C56" s="147">
        <v>626020</v>
      </c>
      <c r="D56" s="147"/>
      <c r="E56" s="147">
        <f>C56-SUM(F56:Q56)</f>
        <v>626020</v>
      </c>
      <c r="F56" s="147"/>
      <c r="G56" s="147"/>
      <c r="H56" s="147"/>
      <c r="I56" s="147"/>
      <c r="J56" s="147"/>
      <c r="K56" s="147"/>
      <c r="L56" s="147"/>
      <c r="M56" s="147"/>
      <c r="N56" s="147"/>
      <c r="O56" s="147"/>
      <c r="P56" s="147"/>
      <c r="Q56" s="147"/>
      <c r="R56" s="516">
        <f t="shared" ref="R56:R61" si="15">SUM(E56:Q56)</f>
        <v>626020</v>
      </c>
      <c r="S56" s="148"/>
      <c r="T56" s="148"/>
      <c r="U56" s="143"/>
    </row>
    <row r="57" spans="1:21" s="192" customFormat="1">
      <c r="A57" s="186" t="s">
        <v>152</v>
      </c>
      <c r="B57" s="193">
        <f t="shared" si="14"/>
        <v>0</v>
      </c>
      <c r="C57" s="190"/>
      <c r="D57" s="190"/>
      <c r="E57" s="190"/>
      <c r="F57" s="190"/>
      <c r="G57" s="190"/>
      <c r="H57" s="190"/>
      <c r="I57" s="190"/>
      <c r="J57" s="190"/>
      <c r="K57" s="190"/>
      <c r="L57" s="190"/>
      <c r="M57" s="190"/>
      <c r="N57" s="190"/>
      <c r="O57" s="190"/>
      <c r="P57" s="190"/>
      <c r="Q57" s="190"/>
      <c r="R57" s="516">
        <f t="shared" si="15"/>
        <v>0</v>
      </c>
      <c r="S57" s="194"/>
      <c r="T57" s="194"/>
      <c r="U57" s="191"/>
    </row>
    <row r="58" spans="1:21" s="144" customFormat="1">
      <c r="A58" s="145" t="s">
        <v>156</v>
      </c>
      <c r="B58" s="146">
        <f t="shared" si="14"/>
        <v>10000</v>
      </c>
      <c r="C58" s="147">
        <v>10000</v>
      </c>
      <c r="D58" s="147"/>
      <c r="E58" s="147">
        <f>C58-SUM(F58:Q58)</f>
        <v>10000</v>
      </c>
      <c r="F58" s="147"/>
      <c r="G58" s="147"/>
      <c r="H58" s="147"/>
      <c r="I58" s="147"/>
      <c r="J58" s="147"/>
      <c r="K58" s="147"/>
      <c r="L58" s="147"/>
      <c r="M58" s="147"/>
      <c r="N58" s="147"/>
      <c r="O58" s="147"/>
      <c r="P58" s="147"/>
      <c r="Q58" s="147"/>
      <c r="R58" s="516">
        <f t="shared" si="15"/>
        <v>10000</v>
      </c>
      <c r="S58" s="148"/>
      <c r="T58" s="148"/>
      <c r="U58" s="143"/>
    </row>
    <row r="59" spans="1:21" s="144" customFormat="1">
      <c r="A59" s="283" t="s">
        <v>154</v>
      </c>
      <c r="B59" s="146">
        <f t="shared" si="14"/>
        <v>0</v>
      </c>
      <c r="C59" s="147"/>
      <c r="D59" s="147"/>
      <c r="E59" s="147"/>
      <c r="F59" s="147"/>
      <c r="G59" s="147"/>
      <c r="H59" s="147"/>
      <c r="I59" s="147"/>
      <c r="J59" s="147"/>
      <c r="K59" s="147"/>
      <c r="L59" s="147"/>
      <c r="M59" s="147"/>
      <c r="N59" s="147"/>
      <c r="O59" s="147"/>
      <c r="P59" s="147"/>
      <c r="Q59" s="147"/>
      <c r="R59" s="516">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6">
        <f t="shared" si="15"/>
        <v>0</v>
      </c>
      <c r="S60" s="148"/>
      <c r="T60" s="148"/>
      <c r="U60" s="143"/>
    </row>
    <row r="61" spans="1:21" s="144" customFormat="1">
      <c r="A61" s="1143" t="s">
        <v>34</v>
      </c>
      <c r="B61" s="146">
        <f t="shared" si="14"/>
        <v>0</v>
      </c>
      <c r="C61" s="147"/>
      <c r="D61" s="147"/>
      <c r="E61" s="147"/>
      <c r="F61" s="147"/>
      <c r="G61" s="147"/>
      <c r="H61" s="147"/>
      <c r="I61" s="147"/>
      <c r="J61" s="147"/>
      <c r="K61" s="147"/>
      <c r="L61" s="147"/>
      <c r="M61" s="147"/>
      <c r="N61" s="147"/>
      <c r="O61" s="147"/>
      <c r="P61" s="147"/>
      <c r="Q61" s="147"/>
      <c r="R61" s="516">
        <f t="shared" si="15"/>
        <v>0</v>
      </c>
      <c r="S61" s="148"/>
      <c r="T61" s="148"/>
      <c r="U61" s="143"/>
    </row>
    <row r="62" spans="1:21" s="144" customFormat="1" ht="13.7" customHeight="1">
      <c r="A62" s="149" t="s">
        <v>301</v>
      </c>
      <c r="B62" s="146">
        <f>SUM(C62:D62)</f>
        <v>636020</v>
      </c>
      <c r="C62" s="146">
        <f t="shared" ref="C62:R62" si="16">SUM(C56:C61)</f>
        <v>636020</v>
      </c>
      <c r="D62" s="146">
        <f t="shared" si="16"/>
        <v>0</v>
      </c>
      <c r="E62" s="146">
        <f t="shared" si="16"/>
        <v>636020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2">
        <f t="shared" si="16"/>
        <v>636020</v>
      </c>
      <c r="S62" s="148"/>
      <c r="T62" s="148"/>
      <c r="U62" s="143"/>
    </row>
    <row r="63" spans="1:21" s="144" customFormat="1">
      <c r="A63" s="154" t="s">
        <v>302</v>
      </c>
      <c r="B63" s="146">
        <f t="shared" ref="B63:R63" si="17">SUM(B8+B11+B13+B14+B15+B26+B27+B38+B42+B43+B54+B62)</f>
        <v>42931963</v>
      </c>
      <c r="C63" s="146">
        <f t="shared" si="17"/>
        <v>42931963</v>
      </c>
      <c r="D63" s="146">
        <f t="shared" si="17"/>
        <v>0</v>
      </c>
      <c r="E63" s="146">
        <f t="shared" si="17"/>
        <v>11039617</v>
      </c>
      <c r="F63" s="146">
        <f t="shared" si="17"/>
        <v>11239330</v>
      </c>
      <c r="G63" s="146">
        <f t="shared" si="17"/>
        <v>14653016</v>
      </c>
      <c r="H63" s="146">
        <f t="shared" si="17"/>
        <v>6000000</v>
      </c>
      <c r="I63" s="146">
        <f t="shared" si="17"/>
        <v>0</v>
      </c>
      <c r="J63" s="146">
        <f t="shared" si="17"/>
        <v>0</v>
      </c>
      <c r="K63" s="146">
        <f t="shared" si="17"/>
        <v>0</v>
      </c>
      <c r="L63" s="146">
        <f t="shared" si="17"/>
        <v>0</v>
      </c>
      <c r="M63" s="146">
        <f t="shared" si="17"/>
        <v>0</v>
      </c>
      <c r="N63" s="146">
        <f t="shared" si="17"/>
        <v>0</v>
      </c>
      <c r="O63" s="146">
        <f t="shared" si="17"/>
        <v>0</v>
      </c>
      <c r="P63" s="146">
        <f t="shared" si="17"/>
        <v>0</v>
      </c>
      <c r="Q63" s="146">
        <f t="shared" si="17"/>
        <v>0</v>
      </c>
      <c r="R63" s="342">
        <f t="shared" si="17"/>
        <v>42931963</v>
      </c>
      <c r="S63" s="146">
        <f>SUM(S10+S13+S14+S15+S26+S27+S38+S42+S43+S54)</f>
        <v>34652320</v>
      </c>
      <c r="T63" s="146">
        <f>SUM(T11+T13+T14+T15+T26+T27+T38+T42+T43+T54)</f>
        <v>0</v>
      </c>
      <c r="U63" s="143"/>
    </row>
    <row r="64" spans="1:21" s="144" customFormat="1" ht="24">
      <c r="A64" s="141" t="s">
        <v>1632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305000</v>
      </c>
      <c r="C65" s="147">
        <f>100000+105000+100000</f>
        <v>305000</v>
      </c>
      <c r="D65" s="147"/>
      <c r="E65" s="147">
        <f t="shared" ref="E65:E66" si="18">C65-SUM(F65:Q65)</f>
        <v>305000</v>
      </c>
      <c r="F65" s="147"/>
      <c r="G65" s="147"/>
      <c r="H65" s="147"/>
      <c r="I65" s="147"/>
      <c r="J65" s="147"/>
      <c r="K65" s="147"/>
      <c r="L65" s="147"/>
      <c r="M65" s="147"/>
      <c r="N65" s="147"/>
      <c r="O65" s="147"/>
      <c r="P65" s="147"/>
      <c r="Q65" s="147"/>
      <c r="R65" s="516">
        <f>SUM(E65:Q65)</f>
        <v>305000</v>
      </c>
      <c r="S65" s="147">
        <v>200000</v>
      </c>
      <c r="T65" s="147"/>
      <c r="U65" s="143"/>
    </row>
    <row r="66" spans="1:21" s="144" customFormat="1" ht="24" customHeight="1">
      <c r="A66" s="283" t="s">
        <v>1629</v>
      </c>
      <c r="B66" s="146">
        <f>SUM(C66+D66)</f>
        <v>650000</v>
      </c>
      <c r="C66" s="147">
        <f>750000-100000</f>
        <v>650000</v>
      </c>
      <c r="D66" s="147"/>
      <c r="E66" s="147">
        <f t="shared" si="18"/>
        <v>650000</v>
      </c>
      <c r="F66" s="147"/>
      <c r="G66" s="147"/>
      <c r="H66" s="147"/>
      <c r="I66" s="147"/>
      <c r="J66" s="147"/>
      <c r="K66" s="147"/>
      <c r="L66" s="147"/>
      <c r="M66" s="147"/>
      <c r="N66" s="147"/>
      <c r="O66" s="147"/>
      <c r="P66" s="147"/>
      <c r="Q66" s="147"/>
      <c r="R66" s="516">
        <f>SUM(E66:Q66)</f>
        <v>650000</v>
      </c>
      <c r="S66" s="147">
        <f>C66</f>
        <v>650000</v>
      </c>
      <c r="T66" s="147"/>
      <c r="U66" s="143"/>
    </row>
    <row r="67" spans="1:21" s="144" customFormat="1" ht="24" customHeight="1">
      <c r="A67" s="283" t="s">
        <v>1630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1633</v>
      </c>
      <c r="B70" s="146">
        <f>SUM(C70:D70)</f>
        <v>955000</v>
      </c>
      <c r="C70" s="146">
        <f>SUM(C65:C69)</f>
        <v>955000</v>
      </c>
      <c r="D70" s="146">
        <f>SUM(D65:D69)</f>
        <v>0</v>
      </c>
      <c r="E70" s="146">
        <f t="shared" ref="E70:T70" si="19">SUM(E65:E69)</f>
        <v>955000</v>
      </c>
      <c r="F70" s="146">
        <f t="shared" si="19"/>
        <v>0</v>
      </c>
      <c r="G70" s="146">
        <f t="shared" si="19"/>
        <v>0</v>
      </c>
      <c r="H70" s="146">
        <f t="shared" si="19"/>
        <v>0</v>
      </c>
      <c r="I70" s="146">
        <f t="shared" si="19"/>
        <v>0</v>
      </c>
      <c r="J70" s="146">
        <f t="shared" si="19"/>
        <v>0</v>
      </c>
      <c r="K70" s="146">
        <f t="shared" si="19"/>
        <v>0</v>
      </c>
      <c r="L70" s="146">
        <f t="shared" si="19"/>
        <v>0</v>
      </c>
      <c r="M70" s="146">
        <f t="shared" si="19"/>
        <v>0</v>
      </c>
      <c r="N70" s="146">
        <f t="shared" si="19"/>
        <v>0</v>
      </c>
      <c r="O70" s="146">
        <f t="shared" si="19"/>
        <v>0</v>
      </c>
      <c r="P70" s="146">
        <f t="shared" si="19"/>
        <v>0</v>
      </c>
      <c r="Q70" s="146">
        <f t="shared" si="19"/>
        <v>0</v>
      </c>
      <c r="R70" s="342">
        <f t="shared" si="19"/>
        <v>955000</v>
      </c>
      <c r="S70" s="150">
        <f t="shared" si="19"/>
        <v>850000</v>
      </c>
      <c r="T70" s="150">
        <f t="shared" si="19"/>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250478</v>
      </c>
      <c r="C73" s="147">
        <f>250505-27</f>
        <v>250478</v>
      </c>
      <c r="D73" s="147"/>
      <c r="E73" s="147">
        <f>C73-SUM(F73:Q73)</f>
        <v>250478</v>
      </c>
      <c r="F73" s="147"/>
      <c r="G73" s="147"/>
      <c r="H73" s="147"/>
      <c r="I73" s="147"/>
      <c r="J73" s="147"/>
      <c r="K73" s="147"/>
      <c r="L73" s="147"/>
      <c r="M73" s="147"/>
      <c r="N73" s="147"/>
      <c r="O73" s="147"/>
      <c r="P73" s="147"/>
      <c r="Q73" s="147"/>
      <c r="R73" s="516">
        <f>SUM(E73:Q73)</f>
        <v>250478</v>
      </c>
      <c r="S73" s="148"/>
      <c r="T73" s="148"/>
      <c r="U73" s="143"/>
    </row>
    <row r="74" spans="1:21" s="144" customFormat="1">
      <c r="A74" s="450" t="s">
        <v>985</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1261450</v>
      </c>
      <c r="C75" s="147">
        <f>1261423+27</f>
        <v>1261450</v>
      </c>
      <c r="D75" s="147"/>
      <c r="E75" s="147">
        <f>C75-SUM(F75:Q75)</f>
        <v>1261450</v>
      </c>
      <c r="F75" s="147"/>
      <c r="G75" s="147"/>
      <c r="H75" s="147"/>
      <c r="I75" s="147"/>
      <c r="J75" s="147"/>
      <c r="K75" s="147"/>
      <c r="L75" s="147"/>
      <c r="M75" s="147"/>
      <c r="N75" s="147"/>
      <c r="O75" s="147"/>
      <c r="P75" s="147"/>
      <c r="Q75" s="147"/>
      <c r="R75" s="516">
        <f>SUM(E75:Q75)</f>
        <v>1261450</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1511928</v>
      </c>
      <c r="C77" s="146">
        <f>SUM(C72:C76)</f>
        <v>1511928</v>
      </c>
      <c r="D77" s="146">
        <f>SUM(D72:D76)</f>
        <v>0</v>
      </c>
      <c r="E77" s="146">
        <f t="shared" ref="E77:Q77" si="20">SUM(E72:E76)</f>
        <v>1511928</v>
      </c>
      <c r="F77" s="146">
        <f t="shared" si="20"/>
        <v>0</v>
      </c>
      <c r="G77" s="146">
        <f t="shared" si="20"/>
        <v>0</v>
      </c>
      <c r="H77" s="146">
        <f t="shared" si="20"/>
        <v>0</v>
      </c>
      <c r="I77" s="146">
        <f t="shared" si="20"/>
        <v>0</v>
      </c>
      <c r="J77" s="146">
        <f t="shared" si="20"/>
        <v>0</v>
      </c>
      <c r="K77" s="146">
        <f t="shared" si="20"/>
        <v>0</v>
      </c>
      <c r="L77" s="146">
        <f t="shared" si="20"/>
        <v>0</v>
      </c>
      <c r="M77" s="146">
        <f t="shared" si="20"/>
        <v>0</v>
      </c>
      <c r="N77" s="146">
        <f t="shared" si="20"/>
        <v>0</v>
      </c>
      <c r="O77" s="146">
        <f t="shared" si="20"/>
        <v>0</v>
      </c>
      <c r="P77" s="146">
        <f t="shared" si="20"/>
        <v>0</v>
      </c>
      <c r="Q77" s="146">
        <f t="shared" si="20"/>
        <v>0</v>
      </c>
      <c r="R77" s="342">
        <f>SUM(R72:R76)</f>
        <v>1511928</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2688600</v>
      </c>
      <c r="C79" s="147">
        <v>2688600</v>
      </c>
      <c r="D79" s="147"/>
      <c r="E79" s="147">
        <f t="shared" ref="E79:E80" si="21">C79-SUM(F79:Q79)</f>
        <v>2688600</v>
      </c>
      <c r="F79" s="147"/>
      <c r="G79" s="147"/>
      <c r="H79" s="147"/>
      <c r="I79" s="147"/>
      <c r="J79" s="147"/>
      <c r="K79" s="147"/>
      <c r="L79" s="147"/>
      <c r="M79" s="147"/>
      <c r="N79" s="147"/>
      <c r="O79" s="147"/>
      <c r="P79" s="147"/>
      <c r="Q79" s="147"/>
      <c r="R79" s="516">
        <f>SUM(E79:Q79)</f>
        <v>2688600</v>
      </c>
      <c r="S79" s="147">
        <f>C79</f>
        <v>2688600</v>
      </c>
      <c r="T79" s="147"/>
      <c r="U79" s="143"/>
    </row>
    <row r="80" spans="1:21" s="144" customFormat="1">
      <c r="A80" s="283" t="s">
        <v>58</v>
      </c>
      <c r="B80" s="146">
        <f>SUM(C80:D80)</f>
        <v>1440897</v>
      </c>
      <c r="C80" s="147">
        <v>1440897</v>
      </c>
      <c r="D80" s="147"/>
      <c r="E80" s="147">
        <f t="shared" si="21"/>
        <v>1440897</v>
      </c>
      <c r="F80" s="147"/>
      <c r="G80" s="147"/>
      <c r="H80" s="147"/>
      <c r="I80" s="147"/>
      <c r="J80" s="147"/>
      <c r="K80" s="147"/>
      <c r="L80" s="147"/>
      <c r="M80" s="147"/>
      <c r="N80" s="147"/>
      <c r="O80" s="147"/>
      <c r="P80" s="147"/>
      <c r="Q80" s="147"/>
      <c r="R80" s="516">
        <f>SUM(E80:Q80)</f>
        <v>1440897</v>
      </c>
      <c r="S80" s="147">
        <v>1400897</v>
      </c>
      <c r="T80" s="147"/>
      <c r="U80" s="143"/>
    </row>
    <row r="81" spans="1:21" s="144" customFormat="1">
      <c r="A81" s="149" t="s">
        <v>1208</v>
      </c>
      <c r="B81" s="146">
        <f>SUM(C81:D81)</f>
        <v>4129497</v>
      </c>
      <c r="C81" s="509">
        <f>SUM(C79:C80)</f>
        <v>4129497</v>
      </c>
      <c r="D81" s="509">
        <f t="shared" ref="D81:T81" si="22">SUM(D79:D80)</f>
        <v>0</v>
      </c>
      <c r="E81" s="509">
        <f t="shared" si="22"/>
        <v>4129497</v>
      </c>
      <c r="F81" s="509">
        <f t="shared" si="22"/>
        <v>0</v>
      </c>
      <c r="G81" s="509">
        <f t="shared" si="22"/>
        <v>0</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4129497</v>
      </c>
      <c r="S81" s="509">
        <f t="shared" si="22"/>
        <v>4089497</v>
      </c>
      <c r="T81" s="509">
        <f t="shared" si="22"/>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2048</v>
      </c>
      <c r="B83" s="146">
        <f t="shared" ref="B83:B95" si="23">SUM(C83+D83)</f>
        <v>255109</v>
      </c>
      <c r="C83" s="147">
        <f>1500+27203+142100+78791+1200+4315</f>
        <v>255109</v>
      </c>
      <c r="D83" s="147"/>
      <c r="E83" s="147">
        <f t="shared" ref="E83:E93" si="24">C83-SUM(F83:Q83)</f>
        <v>255109</v>
      </c>
      <c r="F83" s="147"/>
      <c r="G83" s="147"/>
      <c r="H83" s="147"/>
      <c r="I83" s="147"/>
      <c r="J83" s="147"/>
      <c r="K83" s="147"/>
      <c r="L83" s="147"/>
      <c r="M83" s="147"/>
      <c r="N83" s="147"/>
      <c r="O83" s="147"/>
      <c r="P83" s="147"/>
      <c r="Q83" s="147"/>
      <c r="R83" s="516">
        <f t="shared" ref="R83:R95" si="25">SUM(E83:Q83)</f>
        <v>255109</v>
      </c>
      <c r="S83" s="148"/>
      <c r="T83" s="148"/>
      <c r="U83" s="143"/>
    </row>
    <row r="84" spans="1:21" s="144" customFormat="1">
      <c r="A84" s="145" t="s">
        <v>766</v>
      </c>
      <c r="B84" s="146">
        <f t="shared" si="23"/>
        <v>0</v>
      </c>
      <c r="C84" s="147"/>
      <c r="D84" s="147"/>
      <c r="E84" s="147"/>
      <c r="F84" s="147"/>
      <c r="G84" s="147"/>
      <c r="H84" s="147"/>
      <c r="I84" s="147"/>
      <c r="J84" s="147"/>
      <c r="K84" s="147"/>
      <c r="L84" s="147"/>
      <c r="M84" s="147"/>
      <c r="N84" s="147"/>
      <c r="O84" s="147"/>
      <c r="P84" s="147"/>
      <c r="Q84" s="147"/>
      <c r="R84" s="516">
        <f t="shared" si="25"/>
        <v>0</v>
      </c>
      <c r="S84" s="147"/>
      <c r="T84" s="147"/>
      <c r="U84" s="143"/>
    </row>
    <row r="85" spans="1:21" s="144" customFormat="1">
      <c r="A85" s="145" t="s">
        <v>767</v>
      </c>
      <c r="B85" s="146">
        <f t="shared" si="23"/>
        <v>800000</v>
      </c>
      <c r="C85" s="147">
        <v>800000</v>
      </c>
      <c r="D85" s="147"/>
      <c r="E85" s="147">
        <f t="shared" si="24"/>
        <v>800000</v>
      </c>
      <c r="F85" s="147"/>
      <c r="G85" s="147"/>
      <c r="H85" s="147"/>
      <c r="I85" s="147"/>
      <c r="J85" s="147"/>
      <c r="K85" s="147"/>
      <c r="L85" s="147"/>
      <c r="M85" s="147"/>
      <c r="N85" s="147"/>
      <c r="O85" s="147"/>
      <c r="P85" s="147"/>
      <c r="Q85" s="147"/>
      <c r="R85" s="516">
        <f t="shared" si="25"/>
        <v>800000</v>
      </c>
      <c r="S85" s="147">
        <f>C85</f>
        <v>800000</v>
      </c>
      <c r="T85" s="147"/>
      <c r="U85" s="143"/>
    </row>
    <row r="86" spans="1:21" s="144" customFormat="1">
      <c r="A86" s="145" t="s">
        <v>768</v>
      </c>
      <c r="B86" s="146">
        <f t="shared" si="23"/>
        <v>500000</v>
      </c>
      <c r="C86" s="147">
        <v>500000</v>
      </c>
      <c r="D86" s="147"/>
      <c r="E86" s="147">
        <f t="shared" si="24"/>
        <v>500000</v>
      </c>
      <c r="F86" s="147"/>
      <c r="G86" s="147"/>
      <c r="H86" s="147"/>
      <c r="I86" s="147"/>
      <c r="J86" s="147"/>
      <c r="K86" s="147"/>
      <c r="L86" s="147"/>
      <c r="M86" s="147"/>
      <c r="N86" s="147"/>
      <c r="O86" s="147"/>
      <c r="P86" s="147"/>
      <c r="Q86" s="147"/>
      <c r="R86" s="516">
        <f t="shared" si="25"/>
        <v>500000</v>
      </c>
      <c r="S86" s="147">
        <f>C86</f>
        <v>500000</v>
      </c>
      <c r="T86" s="147"/>
      <c r="U86" s="143"/>
    </row>
    <row r="87" spans="1:21" s="144" customFormat="1">
      <c r="A87" s="145" t="s">
        <v>769</v>
      </c>
      <c r="B87" s="146">
        <f t="shared" si="23"/>
        <v>0</v>
      </c>
      <c r="C87" s="147"/>
      <c r="D87" s="147"/>
      <c r="E87" s="147"/>
      <c r="F87" s="147"/>
      <c r="G87" s="147"/>
      <c r="H87" s="147"/>
      <c r="I87" s="147"/>
      <c r="J87" s="147"/>
      <c r="K87" s="147"/>
      <c r="L87" s="147"/>
      <c r="M87" s="147"/>
      <c r="N87" s="147"/>
      <c r="O87" s="147"/>
      <c r="P87" s="147"/>
      <c r="Q87" s="147"/>
      <c r="R87" s="516">
        <f t="shared" si="25"/>
        <v>0</v>
      </c>
      <c r="S87" s="147"/>
      <c r="T87" s="147"/>
      <c r="U87" s="143"/>
    </row>
    <row r="88" spans="1:21" s="144" customFormat="1">
      <c r="A88" s="145" t="s">
        <v>770</v>
      </c>
      <c r="B88" s="146">
        <f t="shared" si="23"/>
        <v>50000</v>
      </c>
      <c r="C88" s="147">
        <v>50000</v>
      </c>
      <c r="D88" s="147"/>
      <c r="E88" s="147">
        <f t="shared" si="24"/>
        <v>50000</v>
      </c>
      <c r="F88" s="147"/>
      <c r="G88" s="147"/>
      <c r="H88" s="147"/>
      <c r="I88" s="147"/>
      <c r="J88" s="147"/>
      <c r="K88" s="147"/>
      <c r="L88" s="147"/>
      <c r="M88" s="147"/>
      <c r="N88" s="147"/>
      <c r="O88" s="147"/>
      <c r="P88" s="147"/>
      <c r="Q88" s="147"/>
      <c r="R88" s="516">
        <f t="shared" si="25"/>
        <v>50000</v>
      </c>
      <c r="S88" s="148"/>
      <c r="T88" s="148"/>
      <c r="U88" s="143"/>
    </row>
    <row r="89" spans="1:21" s="144" customFormat="1">
      <c r="A89" s="145" t="s">
        <v>771</v>
      </c>
      <c r="B89" s="146">
        <f t="shared" si="23"/>
        <v>41000</v>
      </c>
      <c r="C89" s="147">
        <v>41000</v>
      </c>
      <c r="D89" s="147"/>
      <c r="E89" s="147">
        <f t="shared" si="24"/>
        <v>41000</v>
      </c>
      <c r="F89" s="147"/>
      <c r="G89" s="147"/>
      <c r="H89" s="147"/>
      <c r="I89" s="147"/>
      <c r="J89" s="147"/>
      <c r="K89" s="147"/>
      <c r="L89" s="147"/>
      <c r="M89" s="147"/>
      <c r="N89" s="147"/>
      <c r="O89" s="147"/>
      <c r="P89" s="147"/>
      <c r="Q89" s="147"/>
      <c r="R89" s="516">
        <f t="shared" si="25"/>
        <v>41000</v>
      </c>
      <c r="S89" s="147">
        <f>C89</f>
        <v>41000</v>
      </c>
      <c r="T89" s="147"/>
      <c r="U89" s="143"/>
    </row>
    <row r="90" spans="1:21" s="144" customFormat="1">
      <c r="A90" s="145" t="s">
        <v>772</v>
      </c>
      <c r="B90" s="146">
        <f t="shared" si="23"/>
        <v>10000</v>
      </c>
      <c r="C90" s="147">
        <v>10000</v>
      </c>
      <c r="D90" s="147"/>
      <c r="E90" s="147">
        <f t="shared" si="24"/>
        <v>10000</v>
      </c>
      <c r="F90" s="147"/>
      <c r="G90" s="147"/>
      <c r="H90" s="147"/>
      <c r="I90" s="147"/>
      <c r="J90" s="147"/>
      <c r="K90" s="147"/>
      <c r="L90" s="147"/>
      <c r="M90" s="147"/>
      <c r="N90" s="147"/>
      <c r="O90" s="147"/>
      <c r="P90" s="147"/>
      <c r="Q90" s="147"/>
      <c r="R90" s="516">
        <f t="shared" si="25"/>
        <v>10000</v>
      </c>
      <c r="S90" s="147">
        <f>C90</f>
        <v>10000</v>
      </c>
      <c r="T90" s="147"/>
      <c r="U90" s="143"/>
    </row>
    <row r="91" spans="1:21" s="144" customFormat="1">
      <c r="A91" s="145" t="s">
        <v>372</v>
      </c>
      <c r="B91" s="146">
        <f t="shared" si="23"/>
        <v>55000</v>
      </c>
      <c r="C91" s="147">
        <v>55000</v>
      </c>
      <c r="D91" s="147"/>
      <c r="E91" s="147">
        <f t="shared" si="24"/>
        <v>55000</v>
      </c>
      <c r="F91" s="147"/>
      <c r="G91" s="147"/>
      <c r="H91" s="147"/>
      <c r="I91" s="147"/>
      <c r="J91" s="147"/>
      <c r="K91" s="147"/>
      <c r="L91" s="147"/>
      <c r="M91" s="147"/>
      <c r="N91" s="147"/>
      <c r="O91" s="147"/>
      <c r="P91" s="147"/>
      <c r="Q91" s="147"/>
      <c r="R91" s="516">
        <f t="shared" si="25"/>
        <v>55000</v>
      </c>
      <c r="S91" s="147">
        <v>27500</v>
      </c>
      <c r="T91" s="147"/>
      <c r="U91" s="143"/>
    </row>
    <row r="92" spans="1:21" s="144" customFormat="1">
      <c r="A92" s="283" t="s">
        <v>1210</v>
      </c>
      <c r="B92" s="146">
        <f t="shared" si="23"/>
        <v>25000</v>
      </c>
      <c r="C92" s="147">
        <v>25000</v>
      </c>
      <c r="D92" s="147"/>
      <c r="E92" s="147">
        <f t="shared" si="24"/>
        <v>25000</v>
      </c>
      <c r="F92" s="147"/>
      <c r="G92" s="147"/>
      <c r="H92" s="147"/>
      <c r="I92" s="147"/>
      <c r="J92" s="147"/>
      <c r="K92" s="147"/>
      <c r="L92" s="147"/>
      <c r="M92" s="147"/>
      <c r="N92" s="147"/>
      <c r="O92" s="147"/>
      <c r="P92" s="147"/>
      <c r="Q92" s="147"/>
      <c r="R92" s="516">
        <f t="shared" si="25"/>
        <v>25000</v>
      </c>
      <c r="S92" s="147"/>
      <c r="T92" s="147"/>
      <c r="U92" s="143"/>
    </row>
    <row r="93" spans="1:21" s="144" customFormat="1">
      <c r="A93" s="1143" t="s">
        <v>2778</v>
      </c>
      <c r="B93" s="146">
        <f t="shared" si="23"/>
        <v>4518878</v>
      </c>
      <c r="C93" s="147">
        <v>4518878</v>
      </c>
      <c r="D93" s="147"/>
      <c r="E93" s="147">
        <f t="shared" si="24"/>
        <v>0</v>
      </c>
      <c r="F93" s="147">
        <f>C93</f>
        <v>4518878</v>
      </c>
      <c r="G93" s="147"/>
      <c r="H93" s="147"/>
      <c r="I93" s="147"/>
      <c r="J93" s="147"/>
      <c r="K93" s="147"/>
      <c r="L93" s="147"/>
      <c r="M93" s="147"/>
      <c r="N93" s="147"/>
      <c r="O93" s="147"/>
      <c r="P93" s="147"/>
      <c r="Q93" s="147"/>
      <c r="R93" s="516">
        <f t="shared" si="25"/>
        <v>4518878</v>
      </c>
      <c r="S93" s="147">
        <f>C93</f>
        <v>4518878</v>
      </c>
      <c r="T93" s="147"/>
      <c r="U93" s="143"/>
    </row>
    <row r="94" spans="1:21" s="144" customFormat="1">
      <c r="A94" s="1143" t="s">
        <v>34</v>
      </c>
      <c r="B94" s="146">
        <f t="shared" si="23"/>
        <v>0</v>
      </c>
      <c r="C94" s="147"/>
      <c r="D94" s="147"/>
      <c r="E94" s="147"/>
      <c r="F94" s="147"/>
      <c r="G94" s="147"/>
      <c r="H94" s="147"/>
      <c r="I94" s="147"/>
      <c r="J94" s="147"/>
      <c r="K94" s="147"/>
      <c r="L94" s="147"/>
      <c r="M94" s="147"/>
      <c r="N94" s="147"/>
      <c r="O94" s="147"/>
      <c r="P94" s="147"/>
      <c r="Q94" s="147"/>
      <c r="R94" s="516">
        <f t="shared" si="25"/>
        <v>0</v>
      </c>
      <c r="S94" s="147"/>
      <c r="T94" s="147"/>
      <c r="U94" s="143"/>
    </row>
    <row r="95" spans="1:21" s="144" customFormat="1">
      <c r="A95" s="1143" t="s">
        <v>34</v>
      </c>
      <c r="B95" s="146">
        <f t="shared" si="23"/>
        <v>0</v>
      </c>
      <c r="C95" s="147"/>
      <c r="D95" s="147"/>
      <c r="E95" s="147"/>
      <c r="F95" s="147"/>
      <c r="G95" s="147"/>
      <c r="H95" s="147"/>
      <c r="I95" s="147"/>
      <c r="J95" s="147"/>
      <c r="K95" s="147"/>
      <c r="L95" s="147"/>
      <c r="M95" s="147"/>
      <c r="N95" s="147"/>
      <c r="O95" s="147"/>
      <c r="P95" s="147"/>
      <c r="Q95" s="147"/>
      <c r="R95" s="516">
        <f t="shared" si="25"/>
        <v>0</v>
      </c>
      <c r="S95" s="147"/>
      <c r="T95" s="147"/>
      <c r="U95" s="143"/>
    </row>
    <row r="96" spans="1:21" s="144" customFormat="1">
      <c r="A96" s="149" t="s">
        <v>773</v>
      </c>
      <c r="B96" s="146">
        <f>SUM(C96:D96)</f>
        <v>6254987</v>
      </c>
      <c r="C96" s="146">
        <f t="shared" ref="C96:R96" si="26">SUM(C83:C95)</f>
        <v>6254987</v>
      </c>
      <c r="D96" s="146">
        <f t="shared" si="26"/>
        <v>0</v>
      </c>
      <c r="E96" s="146">
        <f t="shared" si="26"/>
        <v>1736109</v>
      </c>
      <c r="F96" s="146">
        <f t="shared" si="26"/>
        <v>4518878</v>
      </c>
      <c r="G96" s="146">
        <f t="shared" si="26"/>
        <v>0</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42">
        <f t="shared" si="26"/>
        <v>6254987</v>
      </c>
      <c r="S96" s="150">
        <f>SUM(S84:S87,S89:S95)</f>
        <v>5897378</v>
      </c>
      <c r="T96" s="146">
        <f>SUM(T84:T87,T89:T95)</f>
        <v>0</v>
      </c>
      <c r="U96" s="143"/>
    </row>
    <row r="97" spans="1:21" s="144" customFormat="1">
      <c r="A97" s="149" t="s">
        <v>774</v>
      </c>
      <c r="B97" s="146">
        <f>SUM(C97:D97)</f>
        <v>55783375</v>
      </c>
      <c r="C97" s="146">
        <f t="shared" ref="C97:R97" si="27">SUM(C63+C70+C77+C81+C96)</f>
        <v>55783375</v>
      </c>
      <c r="D97" s="146">
        <f t="shared" si="27"/>
        <v>0</v>
      </c>
      <c r="E97" s="146">
        <f t="shared" si="27"/>
        <v>19372151</v>
      </c>
      <c r="F97" s="146">
        <f t="shared" si="27"/>
        <v>15758208</v>
      </c>
      <c r="G97" s="146">
        <f t="shared" si="27"/>
        <v>14653016</v>
      </c>
      <c r="H97" s="146">
        <f t="shared" si="27"/>
        <v>6000000</v>
      </c>
      <c r="I97" s="146">
        <f t="shared" si="27"/>
        <v>0</v>
      </c>
      <c r="J97" s="146">
        <f t="shared" si="27"/>
        <v>0</v>
      </c>
      <c r="K97" s="146">
        <f t="shared" si="27"/>
        <v>0</v>
      </c>
      <c r="L97" s="146">
        <f t="shared" si="27"/>
        <v>0</v>
      </c>
      <c r="M97" s="146">
        <f t="shared" si="27"/>
        <v>0</v>
      </c>
      <c r="N97" s="146">
        <f t="shared" si="27"/>
        <v>0</v>
      </c>
      <c r="O97" s="146">
        <f t="shared" si="27"/>
        <v>0</v>
      </c>
      <c r="P97" s="146">
        <f t="shared" si="27"/>
        <v>0</v>
      </c>
      <c r="Q97" s="146">
        <f t="shared" si="27"/>
        <v>0</v>
      </c>
      <c r="R97" s="146">
        <f t="shared" si="27"/>
        <v>55783375</v>
      </c>
      <c r="S97" s="146">
        <f>SUM(S63+S70+S81+S96)</f>
        <v>45489195</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6823379</v>
      </c>
      <c r="C99" s="974">
        <v>6823379</v>
      </c>
      <c r="D99" s="974"/>
      <c r="E99" s="974">
        <f>C99-SUM(F99:Q99)</f>
        <v>2931692</v>
      </c>
      <c r="F99" s="147"/>
      <c r="G99" s="147"/>
      <c r="H99" s="147"/>
      <c r="I99" s="147">
        <f>I108</f>
        <v>3891687</v>
      </c>
      <c r="J99" s="147"/>
      <c r="K99" s="147"/>
      <c r="L99" s="147"/>
      <c r="M99" s="147"/>
      <c r="N99" s="147"/>
      <c r="O99" s="147"/>
      <c r="P99" s="147"/>
      <c r="Q99" s="147"/>
      <c r="R99" s="516">
        <f>SUM(E99:Q99)</f>
        <v>6823379</v>
      </c>
      <c r="S99" s="147">
        <f>C99</f>
        <v>6823379</v>
      </c>
      <c r="T99" s="147"/>
      <c r="U99" s="143"/>
    </row>
    <row r="100" spans="1:21" s="144" customFormat="1">
      <c r="A100" s="283" t="s">
        <v>1634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6823379</v>
      </c>
      <c r="C104" s="146">
        <f>SUM(C99:C103)</f>
        <v>6823379</v>
      </c>
      <c r="D104" s="146">
        <f t="shared" ref="D104:T104" si="28">SUM(D99:D103)</f>
        <v>0</v>
      </c>
      <c r="E104" s="146">
        <f t="shared" si="28"/>
        <v>2931692</v>
      </c>
      <c r="F104" s="146">
        <f t="shared" si="28"/>
        <v>0</v>
      </c>
      <c r="G104" s="146">
        <f t="shared" si="28"/>
        <v>0</v>
      </c>
      <c r="H104" s="146">
        <f t="shared" si="28"/>
        <v>0</v>
      </c>
      <c r="I104" s="146">
        <f t="shared" si="28"/>
        <v>3891687</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42">
        <f t="shared" si="28"/>
        <v>6823379</v>
      </c>
      <c r="S104" s="150">
        <f t="shared" si="28"/>
        <v>6823379</v>
      </c>
      <c r="T104" s="150">
        <f t="shared" si="28"/>
        <v>0</v>
      </c>
      <c r="U104" s="143"/>
    </row>
    <row r="105" spans="1:21" s="144" customFormat="1">
      <c r="A105" s="149" t="s">
        <v>779</v>
      </c>
      <c r="B105" s="150">
        <f>SUM(C105:D105)</f>
        <v>62606754</v>
      </c>
      <c r="C105" s="150">
        <f t="shared" ref="C105:R105" si="29">SUM(C97+C104)</f>
        <v>62606754</v>
      </c>
      <c r="D105" s="150">
        <f t="shared" si="29"/>
        <v>0</v>
      </c>
      <c r="E105" s="150">
        <f t="shared" si="29"/>
        <v>22303843</v>
      </c>
      <c r="F105" s="150">
        <f t="shared" si="29"/>
        <v>15758208</v>
      </c>
      <c r="G105" s="150">
        <f t="shared" si="29"/>
        <v>14653016</v>
      </c>
      <c r="H105" s="150">
        <f t="shared" si="29"/>
        <v>6000000</v>
      </c>
      <c r="I105" s="150">
        <f t="shared" si="29"/>
        <v>3891687</v>
      </c>
      <c r="J105" s="150">
        <f t="shared" si="29"/>
        <v>0</v>
      </c>
      <c r="K105" s="150">
        <f t="shared" si="29"/>
        <v>0</v>
      </c>
      <c r="L105" s="150">
        <f t="shared" si="29"/>
        <v>0</v>
      </c>
      <c r="M105" s="150">
        <f t="shared" si="29"/>
        <v>0</v>
      </c>
      <c r="N105" s="150">
        <f t="shared" si="29"/>
        <v>0</v>
      </c>
      <c r="O105" s="150">
        <f t="shared" si="29"/>
        <v>0</v>
      </c>
      <c r="P105" s="150">
        <f t="shared" si="29"/>
        <v>0</v>
      </c>
      <c r="Q105" s="150">
        <f t="shared" si="29"/>
        <v>0</v>
      </c>
      <c r="R105" s="342">
        <f t="shared" si="29"/>
        <v>62606754</v>
      </c>
      <c r="S105" s="150">
        <f>S97+S104</f>
        <v>52312574</v>
      </c>
      <c r="T105" s="150">
        <f>T97+T104</f>
        <v>0</v>
      </c>
      <c r="U105" s="143"/>
    </row>
    <row r="106" spans="1:21">
      <c r="A106" s="514" t="s">
        <v>1019</v>
      </c>
      <c r="B106" s="157"/>
      <c r="C106" s="157"/>
      <c r="D106" s="157"/>
      <c r="H106" s="159" t="s">
        <v>92</v>
      </c>
      <c r="I106" s="159"/>
      <c r="J106" s="159"/>
      <c r="R106" s="160" t="s">
        <v>93</v>
      </c>
      <c r="S106" s="147"/>
      <c r="T106" s="1267"/>
    </row>
    <row r="107" spans="1:21">
      <c r="A107" s="157" t="s">
        <v>184</v>
      </c>
      <c r="C107" s="157"/>
      <c r="D107" s="157"/>
      <c r="I107" s="162" t="s">
        <v>350</v>
      </c>
      <c r="J107" s="162"/>
      <c r="R107" s="160" t="s">
        <v>94</v>
      </c>
      <c r="S107" s="150">
        <f>S105+S106</f>
        <v>52312574</v>
      </c>
      <c r="T107" s="150">
        <f>T105+C34</f>
        <v>0</v>
      </c>
    </row>
    <row r="108" spans="1:21" s="189" customFormat="1">
      <c r="A108" s="162" t="s">
        <v>878</v>
      </c>
      <c r="B108" s="157"/>
      <c r="C108" s="157"/>
      <c r="D108" s="157"/>
      <c r="E108" s="301">
        <f>Application!AO648</f>
        <v>22303843</v>
      </c>
      <c r="F108" s="301">
        <f>Application!AO635</f>
        <v>15758208</v>
      </c>
      <c r="G108" s="301">
        <f>Application!AO636</f>
        <v>14653016</v>
      </c>
      <c r="H108" s="301">
        <f>Application!AO637</f>
        <v>6000000</v>
      </c>
      <c r="I108" s="301">
        <f>Application!AO638</f>
        <v>3891687</v>
      </c>
      <c r="J108" s="301">
        <f>Application!AO639</f>
        <v>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2049</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78" t="s">
        <v>989</v>
      </c>
      <c r="E122" s="1878"/>
      <c r="F122" s="1878"/>
      <c r="G122" s="324"/>
      <c r="H122" s="324"/>
      <c r="I122" s="324"/>
      <c r="J122" s="324"/>
      <c r="K122" s="324"/>
      <c r="L122" s="324"/>
      <c r="M122" s="324"/>
      <c r="N122" s="324"/>
      <c r="O122" s="324"/>
      <c r="P122" s="324"/>
      <c r="Q122" s="324"/>
      <c r="R122" s="324"/>
      <c r="S122" s="324"/>
      <c r="T122" s="324"/>
      <c r="U122" s="326"/>
    </row>
    <row r="123" spans="1:21">
      <c r="A123" s="324" t="s">
        <v>990</v>
      </c>
      <c r="B123" s="333"/>
      <c r="C123" s="324"/>
      <c r="D123" s="1880" t="s">
        <v>1223</v>
      </c>
      <c r="E123" s="1716"/>
      <c r="F123" s="1716"/>
      <c r="G123" s="1716"/>
      <c r="H123" s="1716"/>
      <c r="I123" s="1716"/>
      <c r="J123" s="1716"/>
      <c r="K123" s="1716"/>
      <c r="L123" s="1716"/>
      <c r="M123" s="1716"/>
      <c r="N123" s="1716"/>
      <c r="O123" s="1716"/>
      <c r="P123" s="1716"/>
      <c r="Q123" s="1716"/>
      <c r="R123" s="1716"/>
      <c r="S123" s="1716"/>
      <c r="T123" s="324"/>
      <c r="U123" s="326"/>
    </row>
    <row r="124" spans="1:21" ht="12.75">
      <c r="A124" s="117" t="s">
        <v>991</v>
      </c>
      <c r="B124" s="333"/>
      <c r="C124" s="117"/>
      <c r="D124" s="1716"/>
      <c r="E124" s="1716"/>
      <c r="F124" s="1716"/>
      <c r="G124" s="1716"/>
      <c r="H124" s="1716"/>
      <c r="I124" s="1716"/>
      <c r="J124" s="1716"/>
      <c r="K124" s="1716"/>
      <c r="L124" s="1716"/>
      <c r="M124" s="1716"/>
      <c r="N124" s="1716"/>
      <c r="O124" s="1716"/>
      <c r="P124" s="1716"/>
      <c r="Q124" s="1716"/>
      <c r="R124" s="1716"/>
      <c r="S124" s="1716"/>
      <c r="T124" s="324"/>
      <c r="U124" s="326"/>
    </row>
    <row r="125" spans="1:21" ht="12.75">
      <c r="A125" s="117" t="s">
        <v>992</v>
      </c>
      <c r="B125" s="333"/>
      <c r="C125" s="117"/>
      <c r="D125" s="1716"/>
      <c r="E125" s="1716"/>
      <c r="F125" s="1716"/>
      <c r="G125" s="1716"/>
      <c r="H125" s="1716"/>
      <c r="I125" s="1716"/>
      <c r="J125" s="1716"/>
      <c r="K125" s="1716"/>
      <c r="L125" s="1716"/>
      <c r="M125" s="1716"/>
      <c r="N125" s="1716"/>
      <c r="O125" s="1716"/>
      <c r="P125" s="1716"/>
      <c r="Q125" s="1716"/>
      <c r="R125" s="1716"/>
      <c r="S125" s="1716"/>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75"/>
      <c r="E128" s="1875"/>
      <c r="F128" s="1875"/>
      <c r="G128" s="1875"/>
      <c r="H128" s="1875"/>
      <c r="I128" s="117"/>
      <c r="J128" s="1876"/>
      <c r="K128" s="1876"/>
      <c r="L128" s="117"/>
      <c r="M128" s="117"/>
      <c r="N128" s="117"/>
      <c r="O128" s="117"/>
      <c r="P128" s="117"/>
      <c r="Q128" s="117"/>
      <c r="R128" s="117"/>
      <c r="S128" s="117"/>
      <c r="T128" s="324"/>
      <c r="U128" s="326"/>
    </row>
    <row r="129" spans="1:21" ht="12.75">
      <c r="A129" s="117" t="s">
        <v>300</v>
      </c>
      <c r="B129" s="333"/>
      <c r="C129" s="117"/>
      <c r="D129" s="1877" t="s">
        <v>996</v>
      </c>
      <c r="E129" s="1877"/>
      <c r="F129" s="1877"/>
      <c r="G129" s="1877"/>
      <c r="H129" s="1877"/>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693"/>
      <c r="E131" s="1693"/>
      <c r="F131" s="1693"/>
      <c r="G131" s="1693"/>
      <c r="H131" s="1693"/>
      <c r="I131" s="117"/>
      <c r="J131" s="1693"/>
      <c r="K131" s="1693"/>
      <c r="L131" s="1693"/>
      <c r="M131" s="1693"/>
      <c r="N131" s="117"/>
      <c r="O131" s="117"/>
      <c r="P131" s="117"/>
      <c r="Q131" s="117"/>
      <c r="R131" s="117"/>
      <c r="S131" s="117"/>
      <c r="T131" s="324"/>
      <c r="U131" s="326"/>
    </row>
    <row r="132" spans="1:21" ht="12" customHeight="1">
      <c r="A132" s="336"/>
      <c r="B132" s="117"/>
      <c r="C132" s="117"/>
      <c r="D132" s="1881" t="s">
        <v>999</v>
      </c>
      <c r="E132" s="1881"/>
      <c r="F132" s="1881"/>
      <c r="G132" s="1881"/>
      <c r="H132" s="1881"/>
      <c r="I132" s="117"/>
      <c r="J132" s="1881" t="s">
        <v>1000</v>
      </c>
      <c r="K132" s="1881"/>
      <c r="L132" s="1881"/>
      <c r="M132" s="188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82"/>
      <c r="B138" s="1875"/>
      <c r="C138" s="1875"/>
      <c r="D138" s="328"/>
      <c r="E138" s="1876"/>
      <c r="F138" s="1876"/>
      <c r="G138" s="117"/>
      <c r="H138" s="117"/>
      <c r="I138" s="117"/>
      <c r="J138" s="117"/>
      <c r="K138" s="117"/>
      <c r="L138" s="117"/>
      <c r="M138" s="117"/>
      <c r="N138" s="117"/>
      <c r="O138" s="117"/>
      <c r="P138" s="117"/>
      <c r="Q138" s="117"/>
      <c r="R138" s="117"/>
      <c r="S138" s="117"/>
      <c r="T138" s="330"/>
      <c r="U138" s="331"/>
    </row>
    <row r="139" spans="1:21" ht="12.75">
      <c r="A139" s="1879" t="s">
        <v>1003</v>
      </c>
      <c r="B139" s="1879"/>
      <c r="C139" s="1879"/>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7" priority="8">
      <formula>AND(B25&gt;0,OR(A25="",A25="Other: (Specify)"))</formula>
    </cfRule>
  </conditionalFormatting>
  <conditionalFormatting sqref="A37">
    <cfRule type="expression" dxfId="66" priority="7">
      <formula>AND(B37&gt;0,OR(A37="",A37="Other: (Specify)"))</formula>
    </cfRule>
  </conditionalFormatting>
  <conditionalFormatting sqref="A53">
    <cfRule type="expression" dxfId="65" priority="6">
      <formula>AND(B53&gt;0,OR(A53="",A53="Other: (Specify)"))</formula>
    </cfRule>
  </conditionalFormatting>
  <conditionalFormatting sqref="A61">
    <cfRule type="expression" dxfId="64" priority="5">
      <formula>AND(B61&gt;0,OR(A61="",A61="Other: (Specify)"))</formula>
    </cfRule>
  </conditionalFormatting>
  <conditionalFormatting sqref="A69">
    <cfRule type="expression" dxfId="63" priority="4">
      <formula>AND(B69&gt;0,OR(A69="",A69="Other: (Specify)"))</formula>
    </cfRule>
  </conditionalFormatting>
  <conditionalFormatting sqref="A76">
    <cfRule type="expression" dxfId="62" priority="3">
      <formula>AND(B76&gt;0,OR(A76="",A76="Other: (Specify)"))</formula>
    </cfRule>
  </conditionalFormatting>
  <conditionalFormatting sqref="A93:A95">
    <cfRule type="expression" dxfId="61" priority="2">
      <formula>AND(B93&gt;0,OR(A93="",A93="Other: (Specify)"))</formula>
    </cfRule>
  </conditionalFormatting>
  <conditionalFormatting sqref="A103">
    <cfRule type="expression" dxfId="60" priority="1">
      <formula>AND(B103&gt;0,OR(A103="",A103="Other: (Specify)"))</formula>
    </cfRule>
  </conditionalFormatting>
  <conditionalFormatting sqref="C10">
    <cfRule type="expression" dxfId="59" priority="85">
      <formula>"(S10+T10)&gt;C10 "</formula>
    </cfRule>
  </conditionalFormatting>
  <conditionalFormatting sqref="E105:Q105">
    <cfRule type="cellIs" dxfId="58" priority="208" stopIfTrue="1" operator="notEqual">
      <formula>E$108</formula>
    </cfRule>
  </conditionalFormatting>
  <conditionalFormatting sqref="R4:R15">
    <cfRule type="cellIs" dxfId="57"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6"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5"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4"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3"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2"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1"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0"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9" priority="213" stopIfTrue="1" operator="notEqual">
      <formula>$B79</formula>
    </cfRule>
  </conditionalFormatting>
  <conditionalFormatting sqref="R83:R96">
    <cfRule type="cellIs" dxfId="48"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7" priority="210" stopIfTrue="1" operator="notEqual">
      <formula>$B99</formula>
    </cfRule>
  </conditionalFormatting>
  <conditionalFormatting sqref="R104:R105">
    <cfRule type="cellIs" priority="211" stopIfTrue="1" operator="notEqual">
      <formula>$B104</formula>
    </cfRule>
  </conditionalFormatting>
  <conditionalFormatting sqref="S10 S29:S37">
    <cfRule type="expression" dxfId="46" priority="253" stopIfTrue="1">
      <formula>(S10+T10)&gt;C10</formula>
    </cfRule>
  </conditionalFormatting>
  <conditionalFormatting sqref="S13:S14">
    <cfRule type="expression" dxfId="45" priority="202" stopIfTrue="1">
      <formula>(S13+T13)&gt;C13</formula>
    </cfRule>
  </conditionalFormatting>
  <conditionalFormatting sqref="S17:S25">
    <cfRule type="expression" dxfId="44" priority="186" stopIfTrue="1">
      <formula>(S17+T17)&gt;C17</formula>
    </cfRule>
  </conditionalFormatting>
  <conditionalFormatting sqref="S27">
    <cfRule type="expression" dxfId="43" priority="179" stopIfTrue="1">
      <formula>(S27+T27)&gt;C27</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T29:T37">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A24 A26:A36 A38:A52 A54:A60 A62:A68 A70:A75 A77:A92 A96:A102 A104:A1048576 B1:XFD105 B107:XFD1048576 B106:S106 U106:XFD10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D4" sqref="D4"/>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85" t="s">
        <v>1226</v>
      </c>
      <c r="B1" s="1886"/>
      <c r="C1" s="1886"/>
      <c r="D1" s="1886"/>
      <c r="E1" s="1886"/>
      <c r="F1" s="1886"/>
      <c r="G1" s="1886"/>
      <c r="H1" s="1886"/>
      <c r="I1" s="1886"/>
      <c r="J1" s="1887"/>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4990000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4990000</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4990000</v>
      </c>
      <c r="C12" s="361">
        <f>SUM(C8+C11)</f>
        <v>0</v>
      </c>
      <c r="D12" s="361">
        <f>SUM(D8+D11)</f>
        <v>0</v>
      </c>
      <c r="E12" s="363"/>
      <c r="F12" s="363"/>
      <c r="G12" s="363"/>
      <c r="H12" s="363"/>
      <c r="I12" s="363"/>
      <c r="J12" s="363"/>
      <c r="K12" s="359"/>
    </row>
    <row r="13" spans="1:11" s="360" customFormat="1">
      <c r="A13" s="366" t="s">
        <v>901</v>
      </c>
      <c r="B13" s="361">
        <f>'Sources and Uses Budget'!C13</f>
        <v>20000</v>
      </c>
      <c r="C13" s="362"/>
      <c r="D13" s="362"/>
      <c r="E13" s="361">
        <f>'Sources and Uses Budget'!S13</f>
        <v>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900000</v>
      </c>
      <c r="C29" s="362"/>
      <c r="D29" s="362"/>
      <c r="E29" s="361">
        <f>'Sources and Uses Budget'!S29</f>
        <v>900000</v>
      </c>
      <c r="F29" s="362"/>
      <c r="G29" s="362"/>
      <c r="H29" s="361">
        <f>'Sources and Uses Budget'!T29</f>
        <v>0</v>
      </c>
      <c r="I29" s="362"/>
      <c r="J29" s="362"/>
      <c r="K29" s="359"/>
    </row>
    <row r="30" spans="1:11" s="360" customFormat="1">
      <c r="A30" s="145" t="s">
        <v>598</v>
      </c>
      <c r="B30" s="361">
        <f>'Sources and Uses Budget'!C30</f>
        <v>25060000</v>
      </c>
      <c r="C30" s="362"/>
      <c r="D30" s="362"/>
      <c r="E30" s="361">
        <f>'Sources and Uses Budget'!S30</f>
        <v>24913950</v>
      </c>
      <c r="F30" s="362"/>
      <c r="G30" s="362"/>
      <c r="H30" s="361">
        <f>'Sources and Uses Budget'!T30</f>
        <v>0</v>
      </c>
      <c r="I30" s="362"/>
      <c r="J30" s="362"/>
      <c r="K30" s="359"/>
    </row>
    <row r="31" spans="1:11" s="360" customFormat="1">
      <c r="A31" s="145" t="s">
        <v>599</v>
      </c>
      <c r="B31" s="361">
        <f>'Sources and Uses Budget'!C31</f>
        <v>826000</v>
      </c>
      <c r="C31" s="362"/>
      <c r="D31" s="362"/>
      <c r="E31" s="361">
        <f>'Sources and Uses Budget'!S31</f>
        <v>826000</v>
      </c>
      <c r="F31" s="362"/>
      <c r="G31" s="362"/>
      <c r="H31" s="361">
        <f>'Sources and Uses Budget'!T31</f>
        <v>0</v>
      </c>
      <c r="I31" s="362"/>
      <c r="J31" s="362"/>
      <c r="K31" s="359"/>
    </row>
    <row r="32" spans="1:11" s="360" customFormat="1">
      <c r="A32" s="145" t="s">
        <v>137</v>
      </c>
      <c r="B32" s="361">
        <f>'Sources and Uses Budget'!C32</f>
        <v>537720</v>
      </c>
      <c r="C32" s="362"/>
      <c r="D32" s="362"/>
      <c r="E32" s="361">
        <f>'Sources and Uses Budget'!S32</f>
        <v>537720</v>
      </c>
      <c r="F32" s="362"/>
      <c r="G32" s="362"/>
      <c r="H32" s="361">
        <f>'Sources and Uses Budget'!T32</f>
        <v>0</v>
      </c>
      <c r="I32" s="362"/>
      <c r="J32" s="362"/>
      <c r="K32" s="359"/>
    </row>
    <row r="33" spans="1:11" s="360" customFormat="1">
      <c r="A33" s="145" t="s">
        <v>138</v>
      </c>
      <c r="B33" s="361">
        <f>'Sources and Uses Budget'!C33</f>
        <v>962280</v>
      </c>
      <c r="C33" s="362"/>
      <c r="D33" s="362"/>
      <c r="E33" s="361">
        <f>'Sources and Uses Budget'!S33</f>
        <v>962280</v>
      </c>
      <c r="F33" s="362"/>
      <c r="G33" s="362"/>
      <c r="H33" s="361">
        <f>'Sources and Uses Budget'!T33</f>
        <v>0</v>
      </c>
      <c r="I33" s="362"/>
      <c r="J33" s="362"/>
      <c r="K33" s="359"/>
    </row>
    <row r="34" spans="1:11" s="360" customFormat="1">
      <c r="A34" s="145" t="s">
        <v>139</v>
      </c>
      <c r="B34" s="361" t="e">
        <f>'Sources and Uses Budget'!#REF!</f>
        <v>#REF!</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627707</v>
      </c>
      <c r="C35" s="362"/>
      <c r="D35" s="362"/>
      <c r="E35" s="361">
        <f>'Sources and Uses Budget'!S35</f>
        <v>627707</v>
      </c>
      <c r="F35" s="362"/>
      <c r="G35" s="362"/>
      <c r="H35" s="361">
        <f>'Sources and Uses Budget'!T35</f>
        <v>0</v>
      </c>
      <c r="I35" s="362"/>
      <c r="J35" s="362"/>
      <c r="K35" s="359"/>
    </row>
    <row r="36" spans="1:11" s="360" customFormat="1">
      <c r="A36" s="508" t="s">
        <v>1628</v>
      </c>
      <c r="B36" s="361">
        <f>'Sources and Uses Budget'!C36</f>
        <v>400000</v>
      </c>
      <c r="C36" s="362"/>
      <c r="D36" s="362"/>
      <c r="E36" s="361">
        <f>'Sources and Uses Budget'!S36</f>
        <v>400000</v>
      </c>
      <c r="F36" s="362"/>
      <c r="G36" s="362"/>
      <c r="H36" s="361">
        <f>'Sources and Uses Budget'!T36</f>
        <v>0</v>
      </c>
      <c r="I36" s="362"/>
      <c r="J36" s="362"/>
      <c r="K36" s="359"/>
    </row>
    <row r="37" spans="1:11" s="360" customFormat="1">
      <c r="A37" s="364" t="str">
        <f>'Sources and Uses Budget'!$A37</f>
        <v>Parking</v>
      </c>
      <c r="B37" s="361">
        <f>'Sources and Uses Budget'!C37</f>
        <v>100000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29413707</v>
      </c>
      <c r="C38" s="361">
        <f>SUM(C29:C37)</f>
        <v>0</v>
      </c>
      <c r="D38" s="361">
        <f>SUM(D29:D37)</f>
        <v>0</v>
      </c>
      <c r="E38" s="361">
        <f>'Sources and Uses Budget'!S38</f>
        <v>29167657</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650000</v>
      </c>
      <c r="C40" s="362"/>
      <c r="D40" s="362"/>
      <c r="E40" s="361">
        <f>'Sources and Uses Budget'!S40</f>
        <v>650000</v>
      </c>
      <c r="F40" s="362"/>
      <c r="G40" s="362"/>
      <c r="H40" s="361">
        <f>'Sources and Uses Budget'!T40</f>
        <v>0</v>
      </c>
      <c r="I40" s="362"/>
      <c r="J40" s="362"/>
      <c r="K40" s="359"/>
    </row>
    <row r="41" spans="1:11" s="360" customFormat="1">
      <c r="A41" s="364" t="s">
        <v>146</v>
      </c>
      <c r="B41" s="361">
        <f>'Sources and Uses Budget'!C41</f>
        <v>100000</v>
      </c>
      <c r="C41" s="362"/>
      <c r="D41" s="362"/>
      <c r="E41" s="361">
        <f>'Sources and Uses Budget'!S41</f>
        <v>100000</v>
      </c>
      <c r="F41" s="362"/>
      <c r="G41" s="362"/>
      <c r="H41" s="361">
        <f>'Sources and Uses Budget'!T41</f>
        <v>0</v>
      </c>
      <c r="I41" s="362"/>
      <c r="J41" s="362"/>
      <c r="K41" s="359"/>
    </row>
    <row r="42" spans="1:11" s="360" customFormat="1">
      <c r="A42" s="365" t="s">
        <v>147</v>
      </c>
      <c r="B42" s="361">
        <f>'Sources and Uses Budget'!C42</f>
        <v>750000</v>
      </c>
      <c r="C42" s="361">
        <f>SUM(C39:C41)</f>
        <v>0</v>
      </c>
      <c r="D42" s="361">
        <f>SUM(D39:D41)</f>
        <v>0</v>
      </c>
      <c r="E42" s="361">
        <f>'Sources and Uses Budget'!S42</f>
        <v>750000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5201044</v>
      </c>
      <c r="C45" s="362"/>
      <c r="D45" s="362"/>
      <c r="E45" s="361">
        <f>'Sources and Uses Budget'!S45</f>
        <v>3551809</v>
      </c>
      <c r="F45" s="362"/>
      <c r="G45" s="362"/>
      <c r="H45" s="361">
        <f>'Sources and Uses Budget'!T45</f>
        <v>0</v>
      </c>
      <c r="I45" s="362"/>
      <c r="J45" s="362"/>
      <c r="K45" s="359"/>
    </row>
    <row r="46" spans="1:11" s="360" customFormat="1">
      <c r="A46" s="364" t="s">
        <v>151</v>
      </c>
      <c r="B46" s="361">
        <f>'Sources and Uses Budget'!C46</f>
        <v>477453</v>
      </c>
      <c r="C46" s="362"/>
      <c r="D46" s="362"/>
      <c r="E46" s="361">
        <f>'Sources and Uses Budget'!S46</f>
        <v>326054</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460746</v>
      </c>
      <c r="C48" s="362"/>
      <c r="D48" s="362"/>
      <c r="E48" s="361">
        <f>'Sources and Uses Budget'!S48</f>
        <v>460746</v>
      </c>
      <c r="F48" s="362"/>
      <c r="G48" s="362"/>
      <c r="H48" s="361">
        <f>'Sources and Uses Budget'!T48</f>
        <v>0</v>
      </c>
      <c r="I48" s="362"/>
      <c r="J48" s="362"/>
      <c r="K48" s="359"/>
    </row>
    <row r="49" spans="1:11" s="360" customFormat="1">
      <c r="A49" s="283" t="s">
        <v>57</v>
      </c>
      <c r="B49" s="361">
        <f>'Sources and Uses Budget'!C49</f>
        <v>932993</v>
      </c>
      <c r="C49" s="362"/>
      <c r="D49" s="362"/>
      <c r="E49" s="361">
        <f>'Sources and Uses Budget'!S49</f>
        <v>371054</v>
      </c>
      <c r="F49" s="362"/>
      <c r="G49" s="362"/>
      <c r="H49" s="361">
        <f>'Sources and Uses Budget'!T49</f>
        <v>0</v>
      </c>
      <c r="I49" s="362"/>
      <c r="J49" s="362"/>
      <c r="K49" s="359"/>
    </row>
    <row r="50" spans="1:11" s="360" customFormat="1">
      <c r="A50" s="364" t="s">
        <v>156</v>
      </c>
      <c r="B50" s="361">
        <f>'Sources and Uses Budget'!C50</f>
        <v>50000</v>
      </c>
      <c r="C50" s="362"/>
      <c r="D50" s="362"/>
      <c r="E50" s="361">
        <f>'Sources and Uses Budget'!S50</f>
        <v>25000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7122236</v>
      </c>
      <c r="C54" s="367">
        <f>SUM(C45:C53)</f>
        <v>0</v>
      </c>
      <c r="D54" s="367">
        <f>SUM(D45:D53)</f>
        <v>0</v>
      </c>
      <c r="E54" s="361">
        <f>'Sources and Uses Budget'!S54</f>
        <v>4734663</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626020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636020</v>
      </c>
      <c r="C62" s="361">
        <f>SUM(C56:C61)</f>
        <v>0</v>
      </c>
      <c r="D62" s="361">
        <f>SUM(D56:D61)</f>
        <v>0</v>
      </c>
      <c r="E62" s="363"/>
      <c r="F62" s="363"/>
      <c r="G62" s="363"/>
      <c r="H62" s="363"/>
      <c r="I62" s="363"/>
      <c r="J62" s="363"/>
      <c r="K62" s="359"/>
    </row>
    <row r="63" spans="1:11" s="360" customFormat="1">
      <c r="A63" s="370" t="s">
        <v>302</v>
      </c>
      <c r="B63" s="361">
        <f>'Sources and Uses Budget'!C63</f>
        <v>42931963</v>
      </c>
      <c r="C63" s="361">
        <f>SUM(C8+C11+C13+C14+C15+C26+C27+C38+C42+C43+C54+C62)</f>
        <v>0</v>
      </c>
      <c r="D63" s="361">
        <f>SUM(D8+D11+D13+D14+D15+D26+D27+D38+D42+D43+D54+D62)</f>
        <v>0</v>
      </c>
      <c r="E63" s="361">
        <f>'Sources and Uses Budget'!S63</f>
        <v>34652320</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1632</v>
      </c>
      <c r="B64" s="358"/>
      <c r="C64" s="358"/>
      <c r="D64" s="358"/>
      <c r="E64" s="358"/>
      <c r="F64" s="358"/>
      <c r="G64" s="358"/>
      <c r="H64" s="358"/>
      <c r="I64" s="358"/>
      <c r="J64" s="358"/>
      <c r="K64" s="359"/>
    </row>
    <row r="65" spans="1:11" s="360" customFormat="1">
      <c r="A65" s="145" t="s">
        <v>171</v>
      </c>
      <c r="B65" s="361">
        <f>'Sources and Uses Budget'!C65</f>
        <v>305000</v>
      </c>
      <c r="C65" s="362"/>
      <c r="D65" s="362"/>
      <c r="E65" s="361">
        <f>'Sources and Uses Budget'!S65</f>
        <v>200000</v>
      </c>
      <c r="F65" s="362"/>
      <c r="G65" s="362"/>
      <c r="H65" s="361">
        <f>'Sources and Uses Budget'!T65</f>
        <v>0</v>
      </c>
      <c r="I65" s="362"/>
      <c r="J65" s="362"/>
      <c r="K65" s="359"/>
    </row>
    <row r="66" spans="1:11" s="360" customFormat="1" ht="24">
      <c r="A66" s="283" t="s">
        <v>1629</v>
      </c>
      <c r="B66" s="361">
        <f>'Sources and Uses Budget'!C66</f>
        <v>650000</v>
      </c>
      <c r="C66" s="362"/>
      <c r="D66" s="362"/>
      <c r="E66" s="361">
        <f>'Sources and Uses Budget'!S66</f>
        <v>650000</v>
      </c>
      <c r="F66" s="362"/>
      <c r="G66" s="362"/>
      <c r="H66" s="361">
        <f>'Sources and Uses Budget'!T66</f>
        <v>0</v>
      </c>
      <c r="I66" s="362"/>
      <c r="J66" s="362"/>
      <c r="K66" s="359"/>
    </row>
    <row r="67" spans="1:11" s="360" customFormat="1" ht="24">
      <c r="A67" s="283" t="s">
        <v>1630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955000</v>
      </c>
      <c r="C70" s="361">
        <f>SUM(C64:C69)</f>
        <v>0</v>
      </c>
      <c r="D70" s="361">
        <f>SUM(D64:D69)</f>
        <v>0</v>
      </c>
      <c r="E70" s="361">
        <f>'Sources and Uses Budget'!S70</f>
        <v>850000</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250478</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1261450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1511928</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2688600</v>
      </c>
      <c r="C79" s="362"/>
      <c r="D79" s="362"/>
      <c r="E79" s="361">
        <f>'Sources and Uses Budget'!S79</f>
        <v>2688600</v>
      </c>
      <c r="F79" s="362"/>
      <c r="G79" s="362"/>
      <c r="H79" s="361">
        <f>'Sources and Uses Budget'!T79</f>
        <v>0</v>
      </c>
      <c r="I79" s="362"/>
      <c r="J79" s="362"/>
      <c r="K79" s="359"/>
    </row>
    <row r="80" spans="1:11" s="360" customFormat="1">
      <c r="A80" s="364" t="s">
        <v>58</v>
      </c>
      <c r="B80" s="361">
        <f>'Sources and Uses Budget'!C80</f>
        <v>1440897</v>
      </c>
      <c r="C80" s="362"/>
      <c r="D80" s="362"/>
      <c r="E80" s="361">
        <f>'Sources and Uses Budget'!S80</f>
        <v>1400897</v>
      </c>
      <c r="F80" s="362"/>
      <c r="G80" s="362"/>
      <c r="H80" s="361">
        <f>'Sources and Uses Budget'!T80</f>
        <v>0</v>
      </c>
      <c r="I80" s="362"/>
      <c r="J80" s="362"/>
      <c r="K80" s="359"/>
    </row>
    <row r="81" spans="1:11" s="360" customFormat="1">
      <c r="A81" s="365" t="s">
        <v>1208</v>
      </c>
      <c r="B81" s="361">
        <f>'Sources and Uses Budget'!C81</f>
        <v>4129497</v>
      </c>
      <c r="C81" s="361">
        <f>SUM(C79:C80)</f>
        <v>0</v>
      </c>
      <c r="D81" s="361">
        <f>SUM(D79:D80)</f>
        <v>0</v>
      </c>
      <c r="E81" s="361">
        <f>'Sources and Uses Budget'!S81</f>
        <v>4089497</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2048</v>
      </c>
      <c r="B83" s="361">
        <f>'Sources and Uses Budget'!C83</f>
        <v>255109</v>
      </c>
      <c r="C83" s="362"/>
      <c r="D83" s="362"/>
      <c r="E83" s="363"/>
      <c r="F83" s="363"/>
      <c r="G83" s="363"/>
      <c r="H83" s="363"/>
      <c r="I83" s="363"/>
      <c r="J83" s="363"/>
      <c r="K83" s="359"/>
    </row>
    <row r="84" spans="1:11" s="360" customFormat="1">
      <c r="A84" s="145" t="s">
        <v>766</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767</v>
      </c>
      <c r="B85" s="361">
        <f>'Sources and Uses Budget'!C85</f>
        <v>800000</v>
      </c>
      <c r="C85" s="362"/>
      <c r="D85" s="362"/>
      <c r="E85" s="361">
        <f>'Sources and Uses Budget'!S85</f>
        <v>800000</v>
      </c>
      <c r="F85" s="362"/>
      <c r="G85" s="362"/>
      <c r="H85" s="361">
        <f>'Sources and Uses Budget'!T85</f>
        <v>0</v>
      </c>
      <c r="I85" s="362"/>
      <c r="J85" s="362"/>
      <c r="K85" s="359"/>
    </row>
    <row r="86" spans="1:11" s="360" customFormat="1">
      <c r="A86" s="145" t="s">
        <v>768</v>
      </c>
      <c r="B86" s="361">
        <f>'Sources and Uses Budget'!C86</f>
        <v>500000</v>
      </c>
      <c r="C86" s="362"/>
      <c r="D86" s="362"/>
      <c r="E86" s="361">
        <f>'Sources and Uses Budget'!S86</f>
        <v>500000</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50000</v>
      </c>
      <c r="C88" s="362"/>
      <c r="D88" s="362"/>
      <c r="E88" s="363"/>
      <c r="F88" s="363"/>
      <c r="G88" s="363"/>
      <c r="H88" s="363"/>
      <c r="I88" s="363"/>
      <c r="J88" s="363"/>
      <c r="K88" s="359"/>
    </row>
    <row r="89" spans="1:11" s="360" customFormat="1">
      <c r="A89" s="145" t="s">
        <v>771</v>
      </c>
      <c r="B89" s="361">
        <f>'Sources and Uses Budget'!C89</f>
        <v>41000</v>
      </c>
      <c r="C89" s="362"/>
      <c r="D89" s="362"/>
      <c r="E89" s="361">
        <f>'Sources and Uses Budget'!S89</f>
        <v>41000</v>
      </c>
      <c r="F89" s="362"/>
      <c r="G89" s="362"/>
      <c r="H89" s="361">
        <f>'Sources and Uses Budget'!T89</f>
        <v>0</v>
      </c>
      <c r="I89" s="362"/>
      <c r="J89" s="362"/>
      <c r="K89" s="359"/>
    </row>
    <row r="90" spans="1:11" s="360" customFormat="1">
      <c r="A90" s="145" t="s">
        <v>772</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372</v>
      </c>
      <c r="B91" s="361">
        <f>'Sources and Uses Budget'!C91</f>
        <v>55000</v>
      </c>
      <c r="C91" s="362"/>
      <c r="D91" s="362"/>
      <c r="E91" s="361">
        <f>'Sources and Uses Budget'!S91</f>
        <v>27500</v>
      </c>
      <c r="F91" s="362"/>
      <c r="G91" s="362"/>
      <c r="H91" s="361">
        <f>'Sources and Uses Budget'!T91</f>
        <v>0</v>
      </c>
      <c r="I91" s="362"/>
      <c r="J91" s="362"/>
      <c r="K91" s="359"/>
    </row>
    <row r="92" spans="1:11" s="360" customFormat="1">
      <c r="A92" s="508" t="s">
        <v>1210</v>
      </c>
      <c r="B92" s="361">
        <f>'Sources and Uses Budget'!C92</f>
        <v>25000</v>
      </c>
      <c r="C92" s="362"/>
      <c r="D92" s="362"/>
      <c r="E92" s="361">
        <f>'Sources and Uses Budget'!S92</f>
        <v>0</v>
      </c>
      <c r="F92" s="362"/>
      <c r="G92" s="362"/>
      <c r="H92" s="361">
        <f>'Sources and Uses Budget'!T92</f>
        <v>0</v>
      </c>
      <c r="I92" s="362"/>
      <c r="J92" s="362"/>
      <c r="K92" s="359"/>
    </row>
    <row r="93" spans="1:11" s="360" customFormat="1">
      <c r="A93" s="364" t="str">
        <f>'Sources and Uses Budget'!$A93</f>
        <v>Other: (Owner contigency)</v>
      </c>
      <c r="B93" s="361">
        <f>'Sources and Uses Budget'!C93</f>
        <v>4518878</v>
      </c>
      <c r="C93" s="362"/>
      <c r="D93" s="362"/>
      <c r="E93" s="361">
        <f>'Sources and Uses Budget'!S93</f>
        <v>4518878</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6254987</v>
      </c>
      <c r="C96" s="361">
        <f>SUM(C83:C95)</f>
        <v>0</v>
      </c>
      <c r="D96" s="361">
        <f>SUM(D83:D95)</f>
        <v>0</v>
      </c>
      <c r="E96" s="361">
        <f>'Sources and Uses Budget'!S96</f>
        <v>5897378</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55783375</v>
      </c>
      <c r="C97" s="361">
        <f>SUM(C63+C70+C77+C81+C96)</f>
        <v>0</v>
      </c>
      <c r="D97" s="361">
        <f>SUM(D63+D70+D77+D81+D96)</f>
        <v>0</v>
      </c>
      <c r="E97" s="361">
        <f>'Sources and Uses Budget'!S97</f>
        <v>45489195</v>
      </c>
      <c r="F97" s="367">
        <f>SUM(+F63+F70+F81+F96)</f>
        <v>0</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6823379</v>
      </c>
      <c r="C99" s="362"/>
      <c r="D99" s="362"/>
      <c r="E99" s="361">
        <f>'Sources and Uses Budget'!S99</f>
        <v>6823379</v>
      </c>
      <c r="F99" s="362"/>
      <c r="G99" s="362"/>
      <c r="H99" s="361">
        <f>'Sources and Uses Budget'!T99</f>
        <v>0</v>
      </c>
      <c r="I99" s="362"/>
      <c r="J99" s="362"/>
      <c r="K99" s="359"/>
    </row>
    <row r="100" spans="1:11" s="360" customFormat="1">
      <c r="A100" s="283" t="s">
        <v>1634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6823379</v>
      </c>
      <c r="C104" s="361">
        <f>SUM(C99:C103)</f>
        <v>0</v>
      </c>
      <c r="D104" s="361">
        <f>SUM(D99:D103)</f>
        <v>0</v>
      </c>
      <c r="E104" s="361">
        <f>'Sources and Uses Budget'!S104</f>
        <v>6823379</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62606754</v>
      </c>
      <c r="C105" s="367">
        <f>SUM(C97+C104)</f>
        <v>0</v>
      </c>
      <c r="D105" s="367">
        <f>SUM(D97+D104)</f>
        <v>0</v>
      </c>
      <c r="E105" s="361">
        <f>'Sources and Uses Budget'!S105</f>
        <v>52312574</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Budget'!C34</f>
        <v>0</v>
      </c>
      <c r="I106" s="362"/>
      <c r="J106" s="362"/>
      <c r="K106" s="359"/>
    </row>
    <row r="107" spans="1:11" s="360" customFormat="1">
      <c r="A107" s="373"/>
      <c r="B107" s="374"/>
      <c r="C107" s="372"/>
      <c r="D107" s="454" t="s">
        <v>375</v>
      </c>
      <c r="E107" s="361">
        <f>'Sources and Uses Budget'!S107</f>
        <v>52312574</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83"/>
      <c r="E124" s="1856"/>
      <c r="F124" s="1856"/>
      <c r="G124" s="1856"/>
      <c r="H124" s="1856"/>
      <c r="I124" s="1856"/>
      <c r="J124" s="376"/>
      <c r="K124" s="359"/>
    </row>
    <row r="125" spans="1:11" s="360" customFormat="1" ht="12.75">
      <c r="A125" s="385"/>
      <c r="B125" s="384"/>
      <c r="C125" s="385"/>
      <c r="D125" s="1856"/>
      <c r="E125" s="1856"/>
      <c r="F125" s="1856"/>
      <c r="G125" s="1856"/>
      <c r="H125" s="1856"/>
      <c r="I125" s="1856"/>
      <c r="J125" s="376"/>
      <c r="K125" s="359"/>
    </row>
    <row r="126" spans="1:11" s="360" customFormat="1" ht="12.75">
      <c r="A126" s="385"/>
      <c r="B126" s="384"/>
      <c r="C126" s="385"/>
      <c r="D126" s="1856"/>
      <c r="E126" s="1856"/>
      <c r="F126" s="1856"/>
      <c r="G126" s="1856"/>
      <c r="H126" s="1856"/>
      <c r="I126" s="1856"/>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84"/>
      <c r="B139" s="1856"/>
      <c r="C139" s="1856"/>
      <c r="D139" s="356"/>
      <c r="E139" s="385"/>
      <c r="F139" s="385"/>
      <c r="G139" s="385"/>
    </row>
    <row r="140" spans="1:11" ht="12" customHeight="1">
      <c r="A140" s="1839"/>
      <c r="B140" s="1839"/>
      <c r="C140" s="1839"/>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211" zoomScale="85" zoomScaleNormal="85" workbookViewId="0">
      <selection activeCell="AS207" sqref="AS207"/>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96" t="s">
        <v>2381</v>
      </c>
      <c r="B1" s="1897"/>
      <c r="C1" s="1897"/>
      <c r="D1" s="1897"/>
      <c r="E1" s="1897"/>
      <c r="F1" s="1897"/>
      <c r="G1" s="1897"/>
      <c r="H1" s="1897"/>
      <c r="I1" s="1897"/>
      <c r="J1" s="1897"/>
      <c r="K1" s="1897"/>
      <c r="L1" s="1897"/>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c r="AN1" s="1897"/>
      <c r="AO1" s="1897"/>
      <c r="AP1" s="1897"/>
      <c r="AQ1" s="1897"/>
      <c r="AR1" s="1897"/>
      <c r="AS1" s="1897"/>
      <c r="AT1" s="1897"/>
      <c r="AU1" s="1897"/>
      <c r="AV1" s="1897"/>
      <c r="AW1" s="1897"/>
      <c r="AX1" s="1897"/>
      <c r="AY1" s="1897"/>
      <c r="AZ1" s="1897"/>
      <c r="BA1" s="1897"/>
      <c r="BB1" s="1897"/>
      <c r="BC1" s="1897"/>
      <c r="BD1" s="1897"/>
      <c r="BE1" s="1898"/>
    </row>
    <row r="2" spans="1:65" ht="15.75" customHeight="1">
      <c r="A2" s="1899" t="s">
        <v>2380</v>
      </c>
      <c r="B2" s="1900"/>
      <c r="C2" s="1900"/>
      <c r="D2" s="1900"/>
      <c r="E2" s="1900"/>
      <c r="F2" s="1900"/>
      <c r="G2" s="1900"/>
      <c r="H2" s="1900"/>
      <c r="I2" s="1900"/>
      <c r="J2" s="1900"/>
      <c r="K2" s="1900"/>
      <c r="L2" s="1900"/>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1900"/>
      <c r="AO2" s="1900"/>
      <c r="AP2" s="1900"/>
      <c r="AQ2" s="1900"/>
      <c r="AR2" s="1900"/>
      <c r="AS2" s="1900"/>
      <c r="AT2" s="1900"/>
      <c r="AU2" s="1900"/>
      <c r="AV2" s="1900"/>
      <c r="AW2" s="1900"/>
      <c r="AX2" s="1900"/>
      <c r="AY2" s="1900"/>
      <c r="AZ2" s="1900"/>
      <c r="BA2" s="1900"/>
      <c r="BB2" s="1900"/>
      <c r="BC2" s="1900"/>
      <c r="BD2" s="1900"/>
      <c r="BE2" s="1901"/>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902" t="s">
        <v>2581</v>
      </c>
      <c r="AY3" s="1903"/>
      <c r="AZ3" s="1903"/>
      <c r="BA3" s="1904"/>
      <c r="BB3" s="1902" t="s">
        <v>2582</v>
      </c>
      <c r="BC3" s="1903"/>
      <c r="BD3" s="1903"/>
      <c r="BE3" s="1904"/>
    </row>
    <row r="4" spans="1:65" ht="15.75" customHeight="1" thickBot="1">
      <c r="A4" s="1207"/>
      <c r="B4" s="1209" t="s">
        <v>655</v>
      </c>
      <c r="C4" s="1209"/>
      <c r="D4" s="1209"/>
      <c r="E4" s="1209"/>
      <c r="F4" s="1209"/>
      <c r="G4" s="1208"/>
      <c r="H4" s="1208"/>
      <c r="I4" s="1208"/>
      <c r="J4" s="1208"/>
      <c r="K4" s="1208"/>
      <c r="L4" s="1891" t="str">
        <f>IF(Application!H18="","",Application!H18)</f>
        <v>Borden Village</v>
      </c>
      <c r="M4" s="1892"/>
      <c r="N4" s="1892"/>
      <c r="O4" s="1892"/>
      <c r="P4" s="1892"/>
      <c r="Q4" s="1892"/>
      <c r="R4" s="1892"/>
      <c r="S4" s="1892"/>
      <c r="T4" s="1892"/>
      <c r="U4" s="1892"/>
      <c r="V4" s="1892"/>
      <c r="W4" s="1892"/>
      <c r="X4" s="1892"/>
      <c r="Y4" s="1892"/>
      <c r="Z4" s="1892"/>
      <c r="AA4" s="1892"/>
      <c r="AB4" s="1892"/>
      <c r="AC4" s="1893"/>
      <c r="AD4" s="1208"/>
      <c r="AE4" s="1208"/>
      <c r="AF4" s="1905" t="s">
        <v>2379</v>
      </c>
      <c r="AG4" s="1905"/>
      <c r="AH4" s="1905"/>
      <c r="AI4" s="1905"/>
      <c r="AJ4" s="1905"/>
      <c r="AK4" s="1905"/>
      <c r="AL4" s="1905"/>
      <c r="AM4" s="1905"/>
      <c r="AN4" s="1905"/>
      <c r="AO4" s="1905"/>
      <c r="AP4" s="1906">
        <v>46357</v>
      </c>
      <c r="AQ4" s="1907"/>
      <c r="AR4" s="1907"/>
      <c r="AS4" s="1907"/>
      <c r="AT4" s="1907"/>
      <c r="AU4" s="1907"/>
      <c r="AV4" s="1208"/>
      <c r="AW4" s="1208"/>
      <c r="AX4" s="1888" t="s">
        <v>2583</v>
      </c>
      <c r="AY4" s="1889"/>
      <c r="AZ4" s="1889"/>
      <c r="BA4" s="1890"/>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905" t="s">
        <v>2378</v>
      </c>
      <c r="AG5" s="1905"/>
      <c r="AH5" s="1905"/>
      <c r="AI5" s="1905"/>
      <c r="AJ5" s="1905"/>
      <c r="AK5" s="1905"/>
      <c r="AL5" s="1905"/>
      <c r="AM5" s="1905"/>
      <c r="AN5" s="1905"/>
      <c r="AO5" s="1905"/>
      <c r="AP5" s="1906">
        <v>46296</v>
      </c>
      <c r="AQ5" s="1907"/>
      <c r="AR5" s="1907"/>
      <c r="AS5" s="1907"/>
      <c r="AT5" s="1907"/>
      <c r="AU5" s="1907"/>
      <c r="AV5" s="1208"/>
      <c r="AW5" s="1208"/>
      <c r="AX5" s="1888" t="s">
        <v>2584</v>
      </c>
      <c r="AY5" s="1889"/>
      <c r="AZ5" s="1889"/>
      <c r="BA5" s="1890"/>
      <c r="BB5" s="1210">
        <f t="array" ref="BB5">ROUNDDOWN(SUM(IF((B19:I27&gt;0%)*(B19:I27&lt;=50%),J19:O27,0))/J29,2)</f>
        <v>0.3</v>
      </c>
      <c r="BC5" s="1211"/>
      <c r="BD5" s="1211"/>
      <c r="BE5" s="1212"/>
    </row>
    <row r="6" spans="1:65" ht="15.75" customHeight="1" thickBot="1">
      <c r="A6" s="1207"/>
      <c r="B6" s="1209" t="s">
        <v>2377</v>
      </c>
      <c r="C6" s="1208"/>
      <c r="D6" s="1208"/>
      <c r="E6" s="1208"/>
      <c r="F6" s="1208"/>
      <c r="G6" s="1208"/>
      <c r="H6" s="1208"/>
      <c r="I6" s="1208"/>
      <c r="J6" s="1208"/>
      <c r="K6" s="1208"/>
      <c r="L6" s="1891" t="str">
        <f>IF(Application!H16="","",Application!H16)</f>
        <v>Olive Branch Community Development Inc.</v>
      </c>
      <c r="M6" s="1892"/>
      <c r="N6" s="1892"/>
      <c r="O6" s="1892"/>
      <c r="P6" s="1892"/>
      <c r="Q6" s="1892"/>
      <c r="R6" s="1892"/>
      <c r="S6" s="1892"/>
      <c r="T6" s="1892"/>
      <c r="U6" s="1892"/>
      <c r="V6" s="1892"/>
      <c r="W6" s="1892"/>
      <c r="X6" s="1892"/>
      <c r="Y6" s="1892"/>
      <c r="Z6" s="1892"/>
      <c r="AA6" s="1892"/>
      <c r="AB6" s="1892"/>
      <c r="AC6" s="1893"/>
      <c r="AD6" s="1208"/>
      <c r="AE6" s="1208"/>
      <c r="AF6" s="1894" t="s">
        <v>2376</v>
      </c>
      <c r="AG6" s="1894"/>
      <c r="AH6" s="1894"/>
      <c r="AI6" s="1894"/>
      <c r="AJ6" s="1894"/>
      <c r="AK6" s="1894"/>
      <c r="AL6" s="1894"/>
      <c r="AM6" s="1894"/>
      <c r="AN6" s="1894"/>
      <c r="AO6" s="1894"/>
      <c r="AP6" s="1895">
        <v>5</v>
      </c>
      <c r="AQ6" s="1895"/>
      <c r="AR6" s="1895"/>
      <c r="AS6" s="1895"/>
      <c r="AT6" s="1895"/>
      <c r="AU6" s="1895"/>
      <c r="AV6" s="1208"/>
      <c r="AW6" s="1208"/>
      <c r="AX6" s="1888" t="s">
        <v>2585</v>
      </c>
      <c r="AY6" s="1889"/>
      <c r="AZ6" s="1889"/>
      <c r="BA6" s="1890"/>
      <c r="BB6" s="1210">
        <f t="array" ref="BB6">ROUNDDOWN(SUM(IF((B19:I27&gt;60%)*(B19:I27&lt;=80%),J19:O27,0))/J29,2)</f>
        <v>0.23</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94" t="s">
        <v>2375</v>
      </c>
      <c r="AG7" s="1894"/>
      <c r="AH7" s="1894"/>
      <c r="AI7" s="1894"/>
      <c r="AJ7" s="1894"/>
      <c r="AK7" s="1894"/>
      <c r="AL7" s="1894"/>
      <c r="AM7" s="1894"/>
      <c r="AN7" s="1894"/>
      <c r="AO7" s="1894"/>
      <c r="AP7" s="1895">
        <v>3</v>
      </c>
      <c r="AQ7" s="1895"/>
      <c r="AR7" s="1895"/>
      <c r="AS7" s="1895"/>
      <c r="AT7" s="1895"/>
      <c r="AU7" s="1895"/>
      <c r="AV7" s="1208"/>
      <c r="AW7" s="1208"/>
      <c r="AX7" s="1208"/>
      <c r="AY7" s="1208"/>
      <c r="AZ7" s="1208"/>
      <c r="BA7" s="1208"/>
      <c r="BB7" s="1208"/>
      <c r="BC7" s="1208"/>
      <c r="BD7" s="1208"/>
      <c r="BE7" s="1213"/>
    </row>
    <row r="8" spans="1:65" thickBot="1">
      <c r="A8" s="1207"/>
      <c r="B8" s="1209" t="s">
        <v>2622</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908" t="str">
        <f>Application!T197</f>
        <v>No</v>
      </c>
      <c r="AC8" s="1909"/>
      <c r="AD8" s="1910"/>
      <c r="AE8" s="1208"/>
      <c r="AF8" s="1894" t="s">
        <v>2374</v>
      </c>
      <c r="AG8" s="1894"/>
      <c r="AH8" s="1894"/>
      <c r="AI8" s="1894"/>
      <c r="AJ8" s="1894"/>
      <c r="AK8" s="1894"/>
      <c r="AL8" s="1894"/>
      <c r="AM8" s="1894"/>
      <c r="AN8" s="1894"/>
      <c r="AO8" s="1894"/>
      <c r="AP8" s="1895" t="s">
        <v>2052</v>
      </c>
      <c r="AQ8" s="1895"/>
      <c r="AR8" s="1895"/>
      <c r="AS8" s="1895"/>
      <c r="AT8" s="1895"/>
      <c r="AU8" s="1895"/>
      <c r="AV8" s="1208"/>
      <c r="AW8" s="1208"/>
      <c r="AX8" s="1208"/>
      <c r="AY8" s="1208"/>
      <c r="AZ8" s="1208"/>
      <c r="BA8" s="1208"/>
      <c r="BB8" s="1208"/>
      <c r="BC8" s="1208"/>
      <c r="BD8" s="1208"/>
      <c r="BE8" s="1213"/>
      <c r="BM8" s="1204" t="s">
        <v>1955</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905" t="s">
        <v>2373</v>
      </c>
      <c r="AG9" s="1905"/>
      <c r="AH9" s="1905"/>
      <c r="AI9" s="1905"/>
      <c r="AJ9" s="1905"/>
      <c r="AK9" s="1905"/>
      <c r="AL9" s="1905"/>
      <c r="AM9" s="1905"/>
      <c r="AN9" s="1905"/>
      <c r="AO9" s="1905"/>
      <c r="AP9" s="1906">
        <v>47150</v>
      </c>
      <c r="AQ9" s="1907"/>
      <c r="AR9" s="1907"/>
      <c r="AS9" s="1907"/>
      <c r="AT9" s="1907"/>
      <c r="AU9" s="1907"/>
      <c r="AV9" s="1208"/>
      <c r="AW9" s="1208"/>
      <c r="AX9" s="1208"/>
      <c r="AY9" s="1208"/>
      <c r="AZ9" s="1208"/>
      <c r="BA9" s="1208"/>
      <c r="BB9" s="1208"/>
      <c r="BC9" s="1208"/>
      <c r="BD9" s="1208"/>
      <c r="BE9" s="1213"/>
      <c r="BM9" s="1204" t="s">
        <v>2372</v>
      </c>
    </row>
    <row r="10" spans="1:65" ht="15">
      <c r="A10" s="1207"/>
      <c r="B10" s="1209" t="s">
        <v>2371</v>
      </c>
      <c r="C10" s="1209"/>
      <c r="D10" s="1209"/>
      <c r="E10" s="1209"/>
      <c r="F10" s="1209"/>
      <c r="G10" s="1209"/>
      <c r="H10" s="1209"/>
      <c r="I10" s="1209"/>
      <c r="J10" s="1209"/>
      <c r="K10" s="1209"/>
      <c r="L10" s="1209"/>
      <c r="M10" s="1208"/>
      <c r="N10" s="1923">
        <f>Application!AO635</f>
        <v>15758208</v>
      </c>
      <c r="O10" s="1923"/>
      <c r="P10" s="1923"/>
      <c r="Q10" s="1923"/>
      <c r="R10" s="1923"/>
      <c r="S10" s="1923"/>
      <c r="T10" s="1923"/>
      <c r="U10" s="1208"/>
      <c r="V10" s="1208"/>
      <c r="W10" s="1208"/>
      <c r="X10" s="1214"/>
      <c r="Y10" s="1214"/>
      <c r="Z10" s="1214"/>
      <c r="AA10" s="1214"/>
      <c r="AB10" s="1214"/>
      <c r="AC10" s="1214"/>
      <c r="AD10" s="1214"/>
      <c r="AE10" s="1214"/>
      <c r="AF10" s="1905" t="s">
        <v>2370</v>
      </c>
      <c r="AG10" s="1905"/>
      <c r="AH10" s="1905"/>
      <c r="AI10" s="1905"/>
      <c r="AJ10" s="1905"/>
      <c r="AK10" s="1905"/>
      <c r="AL10" s="1905"/>
      <c r="AM10" s="1905"/>
      <c r="AN10" s="1905"/>
      <c r="AO10" s="1905"/>
      <c r="AP10" s="1906">
        <v>47178</v>
      </c>
      <c r="AQ10" s="1907"/>
      <c r="AR10" s="1907"/>
      <c r="AS10" s="1907"/>
      <c r="AT10" s="1907"/>
      <c r="AU10" s="1907"/>
      <c r="AV10" s="1214"/>
      <c r="AW10" s="1214"/>
      <c r="AX10" s="1208"/>
      <c r="AY10" s="1208"/>
      <c r="AZ10" s="1208"/>
      <c r="BA10" s="1208"/>
      <c r="BB10" s="1208"/>
      <c r="BC10" s="1208"/>
      <c r="BD10" s="1208"/>
      <c r="BE10" s="1213"/>
      <c r="BM10" s="1204" t="s">
        <v>2369</v>
      </c>
    </row>
    <row r="11" spans="1:65" ht="15">
      <c r="A11" s="1207"/>
      <c r="B11" s="1209" t="s">
        <v>2368</v>
      </c>
      <c r="C11" s="1209"/>
      <c r="D11" s="1209"/>
      <c r="E11" s="1209"/>
      <c r="F11" s="1209"/>
      <c r="G11" s="1209"/>
      <c r="H11" s="1209"/>
      <c r="I11" s="1209"/>
      <c r="J11" s="1209"/>
      <c r="K11" s="1209"/>
      <c r="L11" s="1209"/>
      <c r="M11" s="1208"/>
      <c r="N11" s="1923">
        <f>Application!AA943</f>
        <v>6000000</v>
      </c>
      <c r="O11" s="1923"/>
      <c r="P11" s="1923"/>
      <c r="Q11" s="1923"/>
      <c r="R11" s="1923"/>
      <c r="S11" s="1923"/>
      <c r="T11" s="1923"/>
      <c r="U11" s="1208"/>
      <c r="V11" s="1208"/>
      <c r="W11" s="1208"/>
      <c r="X11" s="1214"/>
      <c r="Y11" s="1214"/>
      <c r="Z11" s="1214"/>
      <c r="AA11" s="1214"/>
      <c r="AB11" s="1214"/>
      <c r="AC11" s="1214"/>
      <c r="AD11" s="1214"/>
      <c r="AE11" s="1214"/>
      <c r="AF11" s="1905" t="s">
        <v>2367</v>
      </c>
      <c r="AG11" s="1905"/>
      <c r="AH11" s="1905"/>
      <c r="AI11" s="1905"/>
      <c r="AJ11" s="1905"/>
      <c r="AK11" s="1905"/>
      <c r="AL11" s="1905"/>
      <c r="AM11" s="1905"/>
      <c r="AN11" s="1905"/>
      <c r="AO11" s="1905"/>
      <c r="AP11" s="1906">
        <v>47270</v>
      </c>
      <c r="AQ11" s="1907"/>
      <c r="AR11" s="1907"/>
      <c r="AS11" s="1907"/>
      <c r="AT11" s="1907"/>
      <c r="AU11" s="1907"/>
      <c r="AV11" s="1214"/>
      <c r="AW11" s="1214"/>
      <c r="AX11" s="1208"/>
      <c r="AY11" s="1208"/>
      <c r="AZ11" s="1208"/>
      <c r="BA11" s="1208"/>
      <c r="BB11" s="1208"/>
      <c r="BC11" s="1208"/>
      <c r="BD11" s="1208"/>
      <c r="BE11" s="1213"/>
      <c r="BM11" s="1204" t="s">
        <v>2052</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2366</v>
      </c>
    </row>
    <row r="13" spans="1:65" thickBot="1">
      <c r="A13" s="1208"/>
      <c r="B13" s="1911" t="s">
        <v>2365</v>
      </c>
      <c r="C13" s="1912"/>
      <c r="D13" s="1912"/>
      <c r="E13" s="1912"/>
      <c r="F13" s="1912"/>
      <c r="G13" s="1912"/>
      <c r="H13" s="1912"/>
      <c r="I13" s="1912"/>
      <c r="J13" s="1912"/>
      <c r="K13" s="1912"/>
      <c r="L13" s="1912"/>
      <c r="M13" s="1912"/>
      <c r="N13" s="1912"/>
      <c r="O13" s="1912"/>
      <c r="P13" s="1913"/>
      <c r="Q13" s="1914" t="s">
        <v>668</v>
      </c>
      <c r="R13" s="1915"/>
      <c r="S13" s="1915"/>
      <c r="T13" s="1916"/>
      <c r="U13" s="1214"/>
      <c r="V13" s="1208"/>
      <c r="W13" s="1208"/>
      <c r="X13" s="1208"/>
      <c r="Y13" s="1208"/>
      <c r="Z13" s="1208"/>
      <c r="AA13" s="1917" t="s">
        <v>2364</v>
      </c>
      <c r="AB13" s="1917"/>
      <c r="AC13" s="1917"/>
      <c r="AD13" s="1917"/>
      <c r="AE13" s="1917"/>
      <c r="AF13" s="1917"/>
      <c r="AG13" s="1917"/>
      <c r="AH13" s="1917"/>
      <c r="AI13" s="1917"/>
      <c r="AJ13" s="1917"/>
      <c r="AK13" s="1917"/>
      <c r="AL13" s="1917"/>
      <c r="AM13" s="1917"/>
      <c r="AN13" s="1917"/>
      <c r="AO13" s="1918">
        <f>Application!W481</f>
        <v>51</v>
      </c>
      <c r="AP13" s="1919"/>
      <c r="AQ13" s="1919"/>
      <c r="AR13" s="1919"/>
      <c r="AS13" s="1919"/>
      <c r="AT13" s="1214"/>
      <c r="AU13" s="1214"/>
      <c r="AV13" s="1214"/>
      <c r="AW13" s="1214"/>
      <c r="AX13" s="1214"/>
      <c r="AY13" s="1214"/>
      <c r="AZ13" s="1214"/>
      <c r="BA13" s="1214"/>
      <c r="BB13" s="1214"/>
      <c r="BC13" s="1214"/>
      <c r="BD13" s="1214"/>
      <c r="BE13" s="1215"/>
      <c r="BM13" s="1204" t="s">
        <v>2363</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20" t="s">
        <v>2362</v>
      </c>
      <c r="AB14" s="1920"/>
      <c r="AC14" s="1920"/>
      <c r="AD14" s="1920"/>
      <c r="AE14" s="1920"/>
      <c r="AF14" s="1920"/>
      <c r="AG14" s="1920"/>
      <c r="AH14" s="1920"/>
      <c r="AI14" s="1920"/>
      <c r="AJ14" s="1920"/>
      <c r="AK14" s="1920"/>
      <c r="AL14" s="1920"/>
      <c r="AM14" s="1920"/>
      <c r="AN14" s="1920"/>
      <c r="AO14" s="1921">
        <v>46083</v>
      </c>
      <c r="AP14" s="1922"/>
      <c r="AQ14" s="1922"/>
      <c r="AR14" s="1922"/>
      <c r="AS14" s="1922"/>
      <c r="AT14" s="1214"/>
      <c r="AU14" s="1214"/>
      <c r="AV14" s="1214"/>
      <c r="AW14" s="1214"/>
      <c r="AX14" s="1214"/>
      <c r="AY14" s="1214"/>
      <c r="AZ14" s="1214"/>
      <c r="BA14" s="1214"/>
      <c r="BB14" s="1214"/>
      <c r="BC14" s="1214"/>
      <c r="BD14" s="1214"/>
      <c r="BE14" s="1215"/>
    </row>
    <row r="15" spans="1:65" thickBot="1">
      <c r="A15" s="1208"/>
      <c r="B15" s="1924" t="s">
        <v>2361</v>
      </c>
      <c r="C15" s="1925"/>
      <c r="D15" s="1925"/>
      <c r="E15" s="1925"/>
      <c r="F15" s="1925"/>
      <c r="G15" s="1925"/>
      <c r="H15" s="1925"/>
      <c r="I15" s="1925"/>
      <c r="J15" s="1925"/>
      <c r="K15" s="1925"/>
      <c r="L15" s="1925"/>
      <c r="M15" s="1925"/>
      <c r="N15" s="1925"/>
      <c r="O15" s="1925"/>
      <c r="P15" s="1925"/>
      <c r="Q15" s="1925"/>
      <c r="R15" s="1926"/>
      <c r="S15" s="1927" t="str">
        <f>IF(Application!AB215="","",Application!AB215)</f>
        <v/>
      </c>
      <c r="T15" s="1927"/>
      <c r="U15" s="1927"/>
      <c r="V15" s="1927"/>
      <c r="W15" s="1928"/>
      <c r="X15" s="1214"/>
      <c r="Y15" s="1208"/>
      <c r="Z15" s="1208"/>
      <c r="AA15" s="1917" t="s">
        <v>2360</v>
      </c>
      <c r="AB15" s="1917"/>
      <c r="AC15" s="1917"/>
      <c r="AD15" s="1917"/>
      <c r="AE15" s="1917"/>
      <c r="AF15" s="1917"/>
      <c r="AG15" s="1917"/>
      <c r="AH15" s="1917"/>
      <c r="AI15" s="1917"/>
      <c r="AJ15" s="1917"/>
      <c r="AK15" s="1917"/>
      <c r="AL15" s="1917"/>
      <c r="AM15" s="1917"/>
      <c r="AN15" s="1917"/>
      <c r="AO15" s="1921">
        <v>46161</v>
      </c>
      <c r="AP15" s="1922"/>
      <c r="AQ15" s="1922"/>
      <c r="AR15" s="1922"/>
      <c r="AS15" s="1922"/>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9" t="s">
        <v>2359</v>
      </c>
      <c r="C17" s="1930"/>
      <c r="D17" s="1930"/>
      <c r="E17" s="1930"/>
      <c r="F17" s="1930"/>
      <c r="G17" s="1930"/>
      <c r="H17" s="1930"/>
      <c r="I17" s="1930"/>
      <c r="J17" s="1930"/>
      <c r="K17" s="1930"/>
      <c r="L17" s="1930"/>
      <c r="M17" s="1930"/>
      <c r="N17" s="1930"/>
      <c r="O17" s="1930"/>
      <c r="P17" s="1930"/>
      <c r="Q17" s="1930"/>
      <c r="R17" s="1930"/>
      <c r="S17" s="1930"/>
      <c r="T17" s="1930"/>
      <c r="U17" s="1930"/>
      <c r="V17" s="1930"/>
      <c r="W17" s="1930"/>
      <c r="X17" s="1930"/>
      <c r="Y17" s="1930"/>
      <c r="Z17" s="1930"/>
      <c r="AA17" s="1930"/>
      <c r="AB17" s="1930"/>
      <c r="AC17" s="1930"/>
      <c r="AD17" s="1930"/>
      <c r="AE17" s="1930"/>
      <c r="AF17" s="1930"/>
      <c r="AG17" s="1930"/>
      <c r="AH17" s="1930"/>
      <c r="AI17" s="1930"/>
      <c r="AJ17" s="1930"/>
      <c r="AK17" s="1930"/>
      <c r="AL17" s="1930"/>
      <c r="AM17" s="1930"/>
      <c r="AN17" s="1930"/>
      <c r="AO17" s="1930"/>
      <c r="AP17" s="1930"/>
      <c r="AQ17" s="1930"/>
      <c r="AR17" s="1930"/>
      <c r="AS17" s="1930"/>
      <c r="AT17" s="1930"/>
      <c r="AU17" s="1930"/>
      <c r="AV17" s="1930"/>
      <c r="AW17" s="1930"/>
      <c r="AX17" s="1930"/>
      <c r="AY17" s="1931"/>
      <c r="AZ17" s="1208"/>
      <c r="BA17" s="1208"/>
      <c r="BB17" s="1208"/>
      <c r="BC17" s="1208"/>
      <c r="BD17" s="1208"/>
      <c r="BE17" s="1215"/>
      <c r="BF17" s="1206"/>
    </row>
    <row r="18" spans="1:58" ht="15.75" customHeight="1">
      <c r="A18" s="1208"/>
      <c r="B18" s="1932" t="s">
        <v>2358</v>
      </c>
      <c r="C18" s="1933"/>
      <c r="D18" s="1933"/>
      <c r="E18" s="1933"/>
      <c r="F18" s="1933"/>
      <c r="G18" s="1933"/>
      <c r="H18" s="1933"/>
      <c r="I18" s="1934"/>
      <c r="J18" s="1935" t="s">
        <v>1574</v>
      </c>
      <c r="K18" s="1936"/>
      <c r="L18" s="1936"/>
      <c r="M18" s="1936"/>
      <c r="N18" s="1936"/>
      <c r="O18" s="1937"/>
      <c r="P18" s="1935" t="s">
        <v>324</v>
      </c>
      <c r="Q18" s="1936"/>
      <c r="R18" s="1936"/>
      <c r="S18" s="1936"/>
      <c r="T18" s="1936"/>
      <c r="U18" s="1937"/>
      <c r="V18" s="1935" t="s">
        <v>325</v>
      </c>
      <c r="W18" s="1936"/>
      <c r="X18" s="1936"/>
      <c r="Y18" s="1936"/>
      <c r="Z18" s="1936"/>
      <c r="AA18" s="1937"/>
      <c r="AB18" s="1935" t="s">
        <v>163</v>
      </c>
      <c r="AC18" s="1936"/>
      <c r="AD18" s="1936"/>
      <c r="AE18" s="1936"/>
      <c r="AF18" s="1936"/>
      <c r="AG18" s="1937"/>
      <c r="AH18" s="1935" t="s">
        <v>164</v>
      </c>
      <c r="AI18" s="1936"/>
      <c r="AJ18" s="1936"/>
      <c r="AK18" s="1936"/>
      <c r="AL18" s="1936"/>
      <c r="AM18" s="1937"/>
      <c r="AN18" s="1935" t="s">
        <v>165</v>
      </c>
      <c r="AO18" s="1936"/>
      <c r="AP18" s="1936"/>
      <c r="AQ18" s="1936"/>
      <c r="AR18" s="1936"/>
      <c r="AS18" s="1937"/>
      <c r="AT18" s="1935" t="s">
        <v>2357</v>
      </c>
      <c r="AU18" s="1936"/>
      <c r="AV18" s="1936"/>
      <c r="AW18" s="1936"/>
      <c r="AX18" s="1936"/>
      <c r="AY18" s="1938"/>
      <c r="AZ18" s="1208"/>
      <c r="BA18" s="1208"/>
      <c r="BB18" s="1208"/>
      <c r="BC18" s="1208"/>
      <c r="BD18" s="1208"/>
      <c r="BE18" s="1215"/>
    </row>
    <row r="19" spans="1:58" ht="15">
      <c r="A19" s="1208"/>
      <c r="B19" s="1939">
        <v>0.3</v>
      </c>
      <c r="C19" s="1940"/>
      <c r="D19" s="1940"/>
      <c r="E19" s="1940"/>
      <c r="F19" s="1940"/>
      <c r="G19" s="1940"/>
      <c r="H19" s="1940"/>
      <c r="I19" s="1941"/>
      <c r="J19" s="1942">
        <f t="shared" ref="J19:J24" si="0">SUM(P19:AS19)</f>
        <v>21</v>
      </c>
      <c r="K19" s="1943"/>
      <c r="L19" s="1943"/>
      <c r="M19" s="1943"/>
      <c r="N19" s="1943"/>
      <c r="O19" s="1944"/>
      <c r="P19" s="1942" cm="1">
        <f t="array" ref="P19">SUMPRODUCT((Application!$B$726:$B$760 = 'CalHFA Addendum'!P$18)*(Application!$AC$726:$AC$760 = 'CalHFA Addendum'!$B19),Application!$G$726:$G$760)</f>
        <v>1</v>
      </c>
      <c r="Q19" s="1943"/>
      <c r="R19" s="1943"/>
      <c r="S19" s="1943"/>
      <c r="T19" s="1943"/>
      <c r="U19" s="1944"/>
      <c r="V19" s="1942" cm="1">
        <f t="array" ref="V19">SUMPRODUCT((Application!$B$726:$B$760 = 'CalHFA Addendum'!V$18)*(Application!$AC$726:$AC$760 = 'CalHFA Addendum'!$B19),Application!$G$726:$G$760)</f>
        <v>8</v>
      </c>
      <c r="W19" s="1943"/>
      <c r="X19" s="1943"/>
      <c r="Y19" s="1943"/>
      <c r="Z19" s="1943"/>
      <c r="AA19" s="1944"/>
      <c r="AB19" s="1942" cm="1">
        <f t="array" ref="AB19">SUMPRODUCT((Application!$B$726:$B$760 = 'CalHFA Addendum'!AB$18)*(Application!$AC$726:$AC$760 = 'CalHFA Addendum'!$B19),Application!$G$726:$G$760)</f>
        <v>12</v>
      </c>
      <c r="AC19" s="1943"/>
      <c r="AD19" s="1943"/>
      <c r="AE19" s="1943"/>
      <c r="AF19" s="1943"/>
      <c r="AG19" s="1944"/>
      <c r="AH19" s="1942" cm="1">
        <f t="array" ref="AH19">SUMPRODUCT((Application!$B$726:$B$760 = 'CalHFA Addendum'!AH$18)*(Application!$AC$726:$AC$760 = 'CalHFA Addendum'!$B19),Application!$G$726:$G$760)</f>
        <v>0</v>
      </c>
      <c r="AI19" s="1943"/>
      <c r="AJ19" s="1943"/>
      <c r="AK19" s="1943"/>
      <c r="AL19" s="1943"/>
      <c r="AM19" s="1944"/>
      <c r="AN19" s="1942" cm="1">
        <f t="array" ref="AN19">SUMPRODUCT((Application!$B$726:$B$760 = 'CalHFA Addendum'!AN$18)*(Application!$AC$726:$AC$760 = 'CalHFA Addendum'!$B19),Application!$G$726:$G$760)</f>
        <v>0</v>
      </c>
      <c r="AO19" s="1943"/>
      <c r="AP19" s="1943"/>
      <c r="AQ19" s="1943"/>
      <c r="AR19" s="1943"/>
      <c r="AS19" s="1944"/>
      <c r="AT19" s="1945">
        <f>J19/$J$29</f>
        <v>0.10294117647058823</v>
      </c>
      <c r="AU19" s="1946"/>
      <c r="AV19" s="1946"/>
      <c r="AW19" s="1946"/>
      <c r="AX19" s="1946"/>
      <c r="AY19" s="1947"/>
      <c r="AZ19" s="1216"/>
      <c r="BA19" s="1208"/>
      <c r="BB19" s="1208"/>
      <c r="BC19" s="1208"/>
      <c r="BD19" s="1208"/>
      <c r="BE19" s="1215"/>
    </row>
    <row r="20" spans="1:58" ht="15" customHeight="1">
      <c r="A20" s="1208"/>
      <c r="B20" s="1939">
        <v>0.4</v>
      </c>
      <c r="C20" s="1940"/>
      <c r="D20" s="1940"/>
      <c r="E20" s="1940"/>
      <c r="F20" s="1940"/>
      <c r="G20" s="1940"/>
      <c r="H20" s="1940"/>
      <c r="I20" s="1941"/>
      <c r="J20" s="1942">
        <f t="shared" si="0"/>
        <v>0</v>
      </c>
      <c r="K20" s="1943"/>
      <c r="L20" s="1943"/>
      <c r="M20" s="1943"/>
      <c r="N20" s="1943"/>
      <c r="O20" s="1944"/>
      <c r="P20" s="1942" cm="1">
        <f t="array" ref="P20">SUMPRODUCT((Application!$B$726:$B$760 = 'CalHFA Addendum'!P$18)*(Application!$AC$726:$AC$760 = 'CalHFA Addendum'!$B20),Application!$G$726:$G$760)</f>
        <v>0</v>
      </c>
      <c r="Q20" s="1943"/>
      <c r="R20" s="1943"/>
      <c r="S20" s="1943"/>
      <c r="T20" s="1943"/>
      <c r="U20" s="1944"/>
      <c r="V20" s="1942" cm="1">
        <f t="array" ref="V20">SUMPRODUCT((Application!$B$726:$B$760 = 'CalHFA Addendum'!V$18)*(Application!$AC$726:$AC$760 = 'CalHFA Addendum'!$B20),Application!$G$726:$G$760)</f>
        <v>0</v>
      </c>
      <c r="W20" s="1943"/>
      <c r="X20" s="1943"/>
      <c r="Y20" s="1943"/>
      <c r="Z20" s="1943"/>
      <c r="AA20" s="1944"/>
      <c r="AB20" s="1942" cm="1">
        <f t="array" ref="AB20">SUMPRODUCT((Application!$B$726:$B$760 = 'CalHFA Addendum'!AB$18)*(Application!$AC$726:$AC$760 = 'CalHFA Addendum'!$B20),Application!$G$726:$G$760)</f>
        <v>0</v>
      </c>
      <c r="AC20" s="1943"/>
      <c r="AD20" s="1943"/>
      <c r="AE20" s="1943"/>
      <c r="AF20" s="1943"/>
      <c r="AG20" s="1944"/>
      <c r="AH20" s="1942" cm="1">
        <f t="array" ref="AH20">SUMPRODUCT((Application!$B$726:$B$760 = 'CalHFA Addendum'!AH$18)*(Application!$AC$726:$AC$760 = 'CalHFA Addendum'!$B20),Application!$G$726:$G$760)</f>
        <v>0</v>
      </c>
      <c r="AI20" s="1943"/>
      <c r="AJ20" s="1943"/>
      <c r="AK20" s="1943"/>
      <c r="AL20" s="1943"/>
      <c r="AM20" s="1944"/>
      <c r="AN20" s="1942" cm="1">
        <f t="array" ref="AN20">SUMPRODUCT((Application!$B$726:$B$760 = 'CalHFA Addendum'!AN$18)*(Application!$AC$726:$AC$760 = 'CalHFA Addendum'!$B20),Application!$G$726:$G$760)</f>
        <v>0</v>
      </c>
      <c r="AO20" s="1943"/>
      <c r="AP20" s="1943"/>
      <c r="AQ20" s="1943"/>
      <c r="AR20" s="1943"/>
      <c r="AS20" s="1944"/>
      <c r="AT20" s="1945">
        <f t="shared" ref="AT20:AT29" si="1">J20/$J$29</f>
        <v>0</v>
      </c>
      <c r="AU20" s="1946"/>
      <c r="AV20" s="1946"/>
      <c r="AW20" s="1946"/>
      <c r="AX20" s="1946"/>
      <c r="AY20" s="1947"/>
      <c r="AZ20" s="1208"/>
      <c r="BA20" s="1208"/>
      <c r="BB20" s="1208"/>
      <c r="BC20" s="1208"/>
      <c r="BD20" s="1208"/>
      <c r="BE20" s="1215"/>
    </row>
    <row r="21" spans="1:58" ht="15">
      <c r="A21" s="1208"/>
      <c r="B21" s="1939">
        <v>0.5</v>
      </c>
      <c r="C21" s="1940"/>
      <c r="D21" s="1940"/>
      <c r="E21" s="1940"/>
      <c r="F21" s="1940"/>
      <c r="G21" s="1940"/>
      <c r="H21" s="1940"/>
      <c r="I21" s="1941"/>
      <c r="J21" s="1942">
        <f t="shared" si="0"/>
        <v>41</v>
      </c>
      <c r="K21" s="1943"/>
      <c r="L21" s="1943"/>
      <c r="M21" s="1943"/>
      <c r="N21" s="1943"/>
      <c r="O21" s="1944"/>
      <c r="P21" s="1942" cm="1">
        <f t="array" ref="P21">SUMPRODUCT((Application!$B$726:$B$760 = 'CalHFA Addendum'!P$18)*(Application!$AC$726:$AC$760 = 'CalHFA Addendum'!$B21),Application!$G$726:$G$760)</f>
        <v>1</v>
      </c>
      <c r="Q21" s="1943"/>
      <c r="R21" s="1943"/>
      <c r="S21" s="1943"/>
      <c r="T21" s="1943"/>
      <c r="U21" s="1944"/>
      <c r="V21" s="1942" cm="1">
        <f t="array" ref="V21">SUMPRODUCT((Application!$B$726:$B$760 = 'CalHFA Addendum'!V$18)*(Application!$AC$726:$AC$760 = 'CalHFA Addendum'!$B21),Application!$G$726:$G$760)</f>
        <v>16</v>
      </c>
      <c r="W21" s="1943"/>
      <c r="X21" s="1943"/>
      <c r="Y21" s="1943"/>
      <c r="Z21" s="1943"/>
      <c r="AA21" s="1944"/>
      <c r="AB21" s="1942" cm="1">
        <f t="array" ref="AB21">SUMPRODUCT((Application!$B$726:$B$760 = 'CalHFA Addendum'!AB$18)*(Application!$AC$726:$AC$760 = 'CalHFA Addendum'!$B21),Application!$G$726:$G$760)</f>
        <v>24</v>
      </c>
      <c r="AC21" s="1943"/>
      <c r="AD21" s="1943"/>
      <c r="AE21" s="1943"/>
      <c r="AF21" s="1943"/>
      <c r="AG21" s="1944"/>
      <c r="AH21" s="1942" cm="1">
        <f t="array" ref="AH21">SUMPRODUCT((Application!$B$726:$B$760 = 'CalHFA Addendum'!AH$18)*(Application!$AC$726:$AC$760 = 'CalHFA Addendum'!$B21),Application!$G$726:$G$760)</f>
        <v>0</v>
      </c>
      <c r="AI21" s="1943"/>
      <c r="AJ21" s="1943"/>
      <c r="AK21" s="1943"/>
      <c r="AL21" s="1943"/>
      <c r="AM21" s="1944"/>
      <c r="AN21" s="1942" cm="1">
        <f t="array" ref="AN21">SUMPRODUCT((Application!$B$726:$B$760 = 'CalHFA Addendum'!AN$18)*(Application!$AC$726:$AC$760 = 'CalHFA Addendum'!$B21),Application!$G$726:$G$760)</f>
        <v>0</v>
      </c>
      <c r="AO21" s="1943"/>
      <c r="AP21" s="1943"/>
      <c r="AQ21" s="1943"/>
      <c r="AR21" s="1943"/>
      <c r="AS21" s="1944"/>
      <c r="AT21" s="1945">
        <f t="shared" si="1"/>
        <v>0.20098039215686275</v>
      </c>
      <c r="AU21" s="1946"/>
      <c r="AV21" s="1946"/>
      <c r="AW21" s="1946"/>
      <c r="AX21" s="1946"/>
      <c r="AY21" s="1947"/>
      <c r="AZ21" s="1208"/>
      <c r="BA21" s="1208"/>
      <c r="BB21" s="1208"/>
      <c r="BC21" s="1208"/>
      <c r="BD21" s="1208"/>
      <c r="BE21" s="1215"/>
    </row>
    <row r="22" spans="1:58" ht="15">
      <c r="A22" s="1208"/>
      <c r="B22" s="1939">
        <v>0.6</v>
      </c>
      <c r="C22" s="1940"/>
      <c r="D22" s="1940"/>
      <c r="E22" s="1940"/>
      <c r="F22" s="1940"/>
      <c r="G22" s="1940"/>
      <c r="H22" s="1940"/>
      <c r="I22" s="1941"/>
      <c r="J22" s="1942">
        <f t="shared" si="0"/>
        <v>93</v>
      </c>
      <c r="K22" s="1943"/>
      <c r="L22" s="1943"/>
      <c r="M22" s="1943"/>
      <c r="N22" s="1943"/>
      <c r="O22" s="1944"/>
      <c r="P22" s="1942" cm="1">
        <f t="array" ref="P22">SUMPRODUCT((Application!$B$726:$B$760 = 'CalHFA Addendum'!P$18)*(Application!$AC$726:$AC$760 = 'CalHFA Addendum'!$B22),Application!$G$726:$G$760)</f>
        <v>1</v>
      </c>
      <c r="Q22" s="1943"/>
      <c r="R22" s="1943"/>
      <c r="S22" s="1943"/>
      <c r="T22" s="1943"/>
      <c r="U22" s="1944"/>
      <c r="V22" s="1942" cm="1">
        <f t="array" ref="V22">SUMPRODUCT((Application!$B$726:$B$760 = 'CalHFA Addendum'!V$18)*(Application!$AC$726:$AC$760 = 'CalHFA Addendum'!$B22),Application!$G$726:$G$760)</f>
        <v>47</v>
      </c>
      <c r="W22" s="1943"/>
      <c r="X22" s="1943"/>
      <c r="Y22" s="1943"/>
      <c r="Z22" s="1943"/>
      <c r="AA22" s="1944"/>
      <c r="AB22" s="1942" cm="1">
        <f t="array" ref="AB22">SUMPRODUCT((Application!$B$726:$B$760 = 'CalHFA Addendum'!AB$18)*(Application!$AC$726:$AC$760 = 'CalHFA Addendum'!$B22),Application!$G$726:$G$760)</f>
        <v>45</v>
      </c>
      <c r="AC22" s="1943"/>
      <c r="AD22" s="1943"/>
      <c r="AE22" s="1943"/>
      <c r="AF22" s="1943"/>
      <c r="AG22" s="1944"/>
      <c r="AH22" s="1942" cm="1">
        <f t="array" ref="AH22">SUMPRODUCT((Application!$B$726:$B$760 = 'CalHFA Addendum'!AH$18)*(Application!$AC$726:$AC$760 = 'CalHFA Addendum'!$B22),Application!$G$726:$G$760)</f>
        <v>0</v>
      </c>
      <c r="AI22" s="1943"/>
      <c r="AJ22" s="1943"/>
      <c r="AK22" s="1943"/>
      <c r="AL22" s="1943"/>
      <c r="AM22" s="1944"/>
      <c r="AN22" s="1942" cm="1">
        <f t="array" ref="AN22">SUMPRODUCT((Application!$B$726:$B$760 = 'CalHFA Addendum'!AN$18)*(Application!$AC$726:$AC$760 = 'CalHFA Addendum'!$B22),Application!$G$726:$G$760)</f>
        <v>0</v>
      </c>
      <c r="AO22" s="1943"/>
      <c r="AP22" s="1943"/>
      <c r="AQ22" s="1943"/>
      <c r="AR22" s="1943"/>
      <c r="AS22" s="1944"/>
      <c r="AT22" s="1945">
        <f t="shared" si="1"/>
        <v>0.45588235294117646</v>
      </c>
      <c r="AU22" s="1946"/>
      <c r="AV22" s="1946"/>
      <c r="AW22" s="1946"/>
      <c r="AX22" s="1946"/>
      <c r="AY22" s="1947"/>
      <c r="AZ22" s="1208"/>
      <c r="BA22" s="1208"/>
      <c r="BB22" s="1208"/>
      <c r="BC22" s="1208"/>
      <c r="BD22" s="1208"/>
      <c r="BE22" s="1215"/>
    </row>
    <row r="23" spans="1:58" ht="15">
      <c r="A23" s="1208"/>
      <c r="B23" s="1939">
        <v>0.7</v>
      </c>
      <c r="C23" s="1940"/>
      <c r="D23" s="1940"/>
      <c r="E23" s="1940"/>
      <c r="F23" s="1940"/>
      <c r="G23" s="1940"/>
      <c r="H23" s="1940"/>
      <c r="I23" s="1941"/>
      <c r="J23" s="1942">
        <f t="shared" si="0"/>
        <v>48</v>
      </c>
      <c r="K23" s="1943"/>
      <c r="L23" s="1943"/>
      <c r="M23" s="1943"/>
      <c r="N23" s="1943"/>
      <c r="O23" s="1944"/>
      <c r="P23" s="1942" cm="1">
        <f t="array" ref="P23">SUMPRODUCT((Application!$B$726:$B$760 = 'CalHFA Addendum'!P$18)*(Application!$AC$726:$AC$760 = 'CalHFA Addendum'!$B23),Application!$G$726:$G$760)</f>
        <v>1</v>
      </c>
      <c r="Q23" s="1943"/>
      <c r="R23" s="1943"/>
      <c r="S23" s="1943"/>
      <c r="T23" s="1943"/>
      <c r="U23" s="1944"/>
      <c r="V23" s="1942" cm="1">
        <f t="array" ref="V23">SUMPRODUCT((Application!$B$726:$B$760 = 'CalHFA Addendum'!V$18)*(Application!$AC$726:$AC$760 = 'CalHFA Addendum'!$B23),Application!$G$726:$G$760)</f>
        <v>8</v>
      </c>
      <c r="W23" s="1943"/>
      <c r="X23" s="1943"/>
      <c r="Y23" s="1943"/>
      <c r="Z23" s="1943"/>
      <c r="AA23" s="1944"/>
      <c r="AB23" s="1942" cm="1">
        <f t="array" ref="AB23">SUMPRODUCT((Application!$B$726:$B$760 = 'CalHFA Addendum'!AB$18)*(Application!$AC$726:$AC$760 = 'CalHFA Addendum'!$B23),Application!$G$726:$G$760)</f>
        <v>39</v>
      </c>
      <c r="AC23" s="1943"/>
      <c r="AD23" s="1943"/>
      <c r="AE23" s="1943"/>
      <c r="AF23" s="1943"/>
      <c r="AG23" s="1944"/>
      <c r="AH23" s="1942" cm="1">
        <f t="array" ref="AH23">SUMPRODUCT((Application!$B$726:$B$760 = 'CalHFA Addendum'!AH$18)*(Application!$AC$726:$AC$760 = 'CalHFA Addendum'!$B23),Application!$G$726:$G$760)</f>
        <v>0</v>
      </c>
      <c r="AI23" s="1943"/>
      <c r="AJ23" s="1943"/>
      <c r="AK23" s="1943"/>
      <c r="AL23" s="1943"/>
      <c r="AM23" s="1944"/>
      <c r="AN23" s="1942" cm="1">
        <f t="array" ref="AN23">SUMPRODUCT((Application!$B$726:$B$760 = 'CalHFA Addendum'!AN$18)*(Application!$AC$726:$AC$760 = 'CalHFA Addendum'!$B23),Application!$G$726:$G$760)</f>
        <v>0</v>
      </c>
      <c r="AO23" s="1943"/>
      <c r="AP23" s="1943"/>
      <c r="AQ23" s="1943"/>
      <c r="AR23" s="1943"/>
      <c r="AS23" s="1944"/>
      <c r="AT23" s="1945">
        <f t="shared" si="1"/>
        <v>0.23529411764705882</v>
      </c>
      <c r="AU23" s="1946"/>
      <c r="AV23" s="1946"/>
      <c r="AW23" s="1946"/>
      <c r="AX23" s="1946"/>
      <c r="AY23" s="1947"/>
      <c r="AZ23" s="1208"/>
      <c r="BA23" s="1208"/>
      <c r="BB23" s="1208"/>
      <c r="BC23" s="1208"/>
      <c r="BD23" s="1208"/>
      <c r="BE23" s="1215"/>
    </row>
    <row r="24" spans="1:58" ht="15">
      <c r="A24" s="1208"/>
      <c r="B24" s="1939">
        <v>0.8</v>
      </c>
      <c r="C24" s="1940"/>
      <c r="D24" s="1940"/>
      <c r="E24" s="1940"/>
      <c r="F24" s="1940"/>
      <c r="G24" s="1940"/>
      <c r="H24" s="1940"/>
      <c r="I24" s="1941"/>
      <c r="J24" s="1942">
        <f t="shared" si="0"/>
        <v>0</v>
      </c>
      <c r="K24" s="1943"/>
      <c r="L24" s="1943"/>
      <c r="M24" s="1943"/>
      <c r="N24" s="1943"/>
      <c r="O24" s="1944"/>
      <c r="P24" s="1942" cm="1">
        <f t="array" ref="P24">SUMPRODUCT((Application!$B$726:$B$760 = 'CalHFA Addendum'!P$18)*(Application!$AC$726:$AC$760 = 'CalHFA Addendum'!$B24),Application!$G$726:$G$760)</f>
        <v>0</v>
      </c>
      <c r="Q24" s="1943"/>
      <c r="R24" s="1943"/>
      <c r="S24" s="1943"/>
      <c r="T24" s="1943"/>
      <c r="U24" s="1944"/>
      <c r="V24" s="1942" cm="1">
        <f t="array" ref="V24">SUMPRODUCT((Application!$B$726:$B$760 = 'CalHFA Addendum'!V$18)*(Application!$AC$726:$AC$760 = 'CalHFA Addendum'!$B24),Application!$G$726:$G$760)</f>
        <v>0</v>
      </c>
      <c r="W24" s="1943"/>
      <c r="X24" s="1943"/>
      <c r="Y24" s="1943"/>
      <c r="Z24" s="1943"/>
      <c r="AA24" s="1944"/>
      <c r="AB24" s="1942" cm="1">
        <f t="array" ref="AB24">SUMPRODUCT((Application!$B$726:$B$760 = 'CalHFA Addendum'!AB$18)*(Application!$AC$726:$AC$760 = 'CalHFA Addendum'!$B24),Application!$G$726:$G$760)</f>
        <v>0</v>
      </c>
      <c r="AC24" s="1943"/>
      <c r="AD24" s="1943"/>
      <c r="AE24" s="1943"/>
      <c r="AF24" s="1943"/>
      <c r="AG24" s="1944"/>
      <c r="AH24" s="1942" cm="1">
        <f t="array" ref="AH24">SUMPRODUCT((Application!$B$726:$B$760 = 'CalHFA Addendum'!AH$18)*(Application!$AC$726:$AC$760 = 'CalHFA Addendum'!$B24),Application!$G$726:$G$760)</f>
        <v>0</v>
      </c>
      <c r="AI24" s="1943"/>
      <c r="AJ24" s="1943"/>
      <c r="AK24" s="1943"/>
      <c r="AL24" s="1943"/>
      <c r="AM24" s="1944"/>
      <c r="AN24" s="1942" cm="1">
        <f t="array" ref="AN24">SUMPRODUCT((Application!$B$726:$B$760 = 'CalHFA Addendum'!AN$18)*(Application!$AC$726:$AC$760 = 'CalHFA Addendum'!$B24),Application!$G$726:$G$760)</f>
        <v>0</v>
      </c>
      <c r="AO24" s="1943"/>
      <c r="AP24" s="1943"/>
      <c r="AQ24" s="1943"/>
      <c r="AR24" s="1943"/>
      <c r="AS24" s="1944"/>
      <c r="AT24" s="1945">
        <f t="shared" si="1"/>
        <v>0</v>
      </c>
      <c r="AU24" s="1946"/>
      <c r="AV24" s="1946"/>
      <c r="AW24" s="1946"/>
      <c r="AX24" s="1946"/>
      <c r="AY24" s="1947"/>
      <c r="AZ24" s="1208"/>
      <c r="BA24" s="1208"/>
      <c r="BB24" s="1208"/>
      <c r="BC24" s="1208"/>
      <c r="BD24" s="1208"/>
      <c r="BE24" s="1215"/>
    </row>
    <row r="25" spans="1:58" ht="15">
      <c r="A25" s="1208"/>
      <c r="B25" s="1939">
        <v>0.9</v>
      </c>
      <c r="C25" s="1940"/>
      <c r="D25" s="1940"/>
      <c r="E25" s="1940"/>
      <c r="F25" s="1940"/>
      <c r="G25" s="1940"/>
      <c r="H25" s="1940"/>
      <c r="I25" s="1941"/>
      <c r="J25" s="1948"/>
      <c r="K25" s="1949"/>
      <c r="L25" s="1949"/>
      <c r="M25" s="1949"/>
      <c r="N25" s="1949"/>
      <c r="O25" s="1950"/>
      <c r="P25" s="1948"/>
      <c r="Q25" s="1949"/>
      <c r="R25" s="1949"/>
      <c r="S25" s="1949"/>
      <c r="T25" s="1949"/>
      <c r="U25" s="1950"/>
      <c r="V25" s="1948"/>
      <c r="W25" s="1949"/>
      <c r="X25" s="1949"/>
      <c r="Y25" s="1949"/>
      <c r="Z25" s="1949"/>
      <c r="AA25" s="1950"/>
      <c r="AB25" s="1948"/>
      <c r="AC25" s="1949"/>
      <c r="AD25" s="1949"/>
      <c r="AE25" s="1949"/>
      <c r="AF25" s="1949"/>
      <c r="AG25" s="1950"/>
      <c r="AH25" s="1948"/>
      <c r="AI25" s="1949"/>
      <c r="AJ25" s="1949"/>
      <c r="AK25" s="1949"/>
      <c r="AL25" s="1949"/>
      <c r="AM25" s="1950"/>
      <c r="AN25" s="1948"/>
      <c r="AO25" s="1949"/>
      <c r="AP25" s="1949"/>
      <c r="AQ25" s="1949"/>
      <c r="AR25" s="1949"/>
      <c r="AS25" s="1950"/>
      <c r="AT25" s="1945">
        <f t="shared" si="1"/>
        <v>0</v>
      </c>
      <c r="AU25" s="1946"/>
      <c r="AV25" s="1946"/>
      <c r="AW25" s="1946"/>
      <c r="AX25" s="1946"/>
      <c r="AY25" s="1947"/>
      <c r="AZ25" s="1208"/>
      <c r="BA25" s="1208"/>
      <c r="BB25" s="1208"/>
      <c r="BC25" s="1208"/>
      <c r="BD25" s="1208"/>
      <c r="BE25" s="1215"/>
    </row>
    <row r="26" spans="1:58" ht="15">
      <c r="A26" s="1208"/>
      <c r="B26" s="1939">
        <v>1</v>
      </c>
      <c r="C26" s="1940"/>
      <c r="D26" s="1940"/>
      <c r="E26" s="1940"/>
      <c r="F26" s="1940"/>
      <c r="G26" s="1940"/>
      <c r="H26" s="1940"/>
      <c r="I26" s="1941"/>
      <c r="J26" s="1948"/>
      <c r="K26" s="1949"/>
      <c r="L26" s="1949"/>
      <c r="M26" s="1949"/>
      <c r="N26" s="1949"/>
      <c r="O26" s="1950"/>
      <c r="P26" s="1948"/>
      <c r="Q26" s="1949"/>
      <c r="R26" s="1949"/>
      <c r="S26" s="1949"/>
      <c r="T26" s="1949"/>
      <c r="U26" s="1950"/>
      <c r="V26" s="1948"/>
      <c r="W26" s="1949"/>
      <c r="X26" s="1949"/>
      <c r="Y26" s="1949"/>
      <c r="Z26" s="1949"/>
      <c r="AA26" s="1950"/>
      <c r="AB26" s="1948"/>
      <c r="AC26" s="1949"/>
      <c r="AD26" s="1949"/>
      <c r="AE26" s="1949"/>
      <c r="AF26" s="1949"/>
      <c r="AG26" s="1950"/>
      <c r="AH26" s="1948"/>
      <c r="AI26" s="1949"/>
      <c r="AJ26" s="1949"/>
      <c r="AK26" s="1949"/>
      <c r="AL26" s="1949"/>
      <c r="AM26" s="1950"/>
      <c r="AN26" s="1948"/>
      <c r="AO26" s="1949"/>
      <c r="AP26" s="1949"/>
      <c r="AQ26" s="1949"/>
      <c r="AR26" s="1949"/>
      <c r="AS26" s="1950"/>
      <c r="AT26" s="1945">
        <f t="shared" si="1"/>
        <v>0</v>
      </c>
      <c r="AU26" s="1946"/>
      <c r="AV26" s="1946"/>
      <c r="AW26" s="1946"/>
      <c r="AX26" s="1946"/>
      <c r="AY26" s="1947"/>
      <c r="AZ26" s="1208"/>
      <c r="BA26" s="1208"/>
      <c r="BB26" s="1208"/>
      <c r="BC26" s="1208"/>
      <c r="BD26" s="1208"/>
      <c r="BE26" s="1215"/>
    </row>
    <row r="27" spans="1:58" ht="15">
      <c r="A27" s="1208"/>
      <c r="B27" s="1939">
        <v>1.2</v>
      </c>
      <c r="C27" s="1940"/>
      <c r="D27" s="1940"/>
      <c r="E27" s="1940"/>
      <c r="F27" s="1940"/>
      <c r="G27" s="1940"/>
      <c r="H27" s="1940"/>
      <c r="I27" s="1941"/>
      <c r="J27" s="1948"/>
      <c r="K27" s="1949"/>
      <c r="L27" s="1949"/>
      <c r="M27" s="1949"/>
      <c r="N27" s="1949"/>
      <c r="O27" s="1950"/>
      <c r="P27" s="1948"/>
      <c r="Q27" s="1949"/>
      <c r="R27" s="1949"/>
      <c r="S27" s="1949"/>
      <c r="T27" s="1949"/>
      <c r="U27" s="1950"/>
      <c r="V27" s="1948"/>
      <c r="W27" s="1949"/>
      <c r="X27" s="1949"/>
      <c r="Y27" s="1949"/>
      <c r="Z27" s="1949"/>
      <c r="AA27" s="1950"/>
      <c r="AB27" s="1948"/>
      <c r="AC27" s="1949"/>
      <c r="AD27" s="1949"/>
      <c r="AE27" s="1949"/>
      <c r="AF27" s="1949"/>
      <c r="AG27" s="1950"/>
      <c r="AH27" s="1948"/>
      <c r="AI27" s="1949"/>
      <c r="AJ27" s="1949"/>
      <c r="AK27" s="1949"/>
      <c r="AL27" s="1949"/>
      <c r="AM27" s="1950"/>
      <c r="AN27" s="1948"/>
      <c r="AO27" s="1949"/>
      <c r="AP27" s="1949"/>
      <c r="AQ27" s="1949"/>
      <c r="AR27" s="1949"/>
      <c r="AS27" s="1950"/>
      <c r="AT27" s="1945">
        <f t="shared" si="1"/>
        <v>0</v>
      </c>
      <c r="AU27" s="1946"/>
      <c r="AV27" s="1946"/>
      <c r="AW27" s="1946"/>
      <c r="AX27" s="1946"/>
      <c r="AY27" s="1947"/>
      <c r="AZ27" s="1208"/>
      <c r="BA27" s="1208"/>
      <c r="BB27" s="1208"/>
      <c r="BC27" s="1208"/>
      <c r="BD27" s="1208"/>
      <c r="BE27" s="1215"/>
    </row>
    <row r="28" spans="1:58" thickBot="1">
      <c r="A28" s="1208"/>
      <c r="B28" s="1951" t="s">
        <v>2356</v>
      </c>
      <c r="C28" s="1952"/>
      <c r="D28" s="1952"/>
      <c r="E28" s="1952"/>
      <c r="F28" s="1952"/>
      <c r="G28" s="1952"/>
      <c r="H28" s="1952"/>
      <c r="I28" s="1953"/>
      <c r="J28" s="1954">
        <f>SUM(P28:AS28)</f>
        <v>1</v>
      </c>
      <c r="K28" s="1955"/>
      <c r="L28" s="1955"/>
      <c r="M28" s="1955"/>
      <c r="N28" s="1955"/>
      <c r="O28" s="1956"/>
      <c r="P28" s="1954">
        <f>_xlfn.IFNA(VLOOKUP(P$18,Application!$J$781:$S$784,6,FALSE), 0)</f>
        <v>0</v>
      </c>
      <c r="Q28" s="1955"/>
      <c r="R28" s="1955"/>
      <c r="S28" s="1955"/>
      <c r="T28" s="1955"/>
      <c r="U28" s="1956"/>
      <c r="V28" s="1954">
        <f>_xlfn.IFNA(VLOOKUP(V$18,Application!$J$781:$S$784,6,FALSE), 0)</f>
        <v>0</v>
      </c>
      <c r="W28" s="1955"/>
      <c r="X28" s="1955"/>
      <c r="Y28" s="1955"/>
      <c r="Z28" s="1955"/>
      <c r="AA28" s="1956"/>
      <c r="AB28" s="1954">
        <f>_xlfn.IFNA(VLOOKUP(AB$18,Application!$J$781:$S$784,6,FALSE), 0)</f>
        <v>1</v>
      </c>
      <c r="AC28" s="1955"/>
      <c r="AD28" s="1955"/>
      <c r="AE28" s="1955"/>
      <c r="AF28" s="1955"/>
      <c r="AG28" s="1956"/>
      <c r="AH28" s="1954">
        <f>_xlfn.IFNA(VLOOKUP(AH$18,Application!$J$781:$S$784,6,FALSE), 0)</f>
        <v>0</v>
      </c>
      <c r="AI28" s="1955"/>
      <c r="AJ28" s="1955"/>
      <c r="AK28" s="1955"/>
      <c r="AL28" s="1955"/>
      <c r="AM28" s="1956"/>
      <c r="AN28" s="1954">
        <f>_xlfn.IFNA(VLOOKUP(AN$18,Application!$J$781:$S$784,6,FALSE), 0)</f>
        <v>0</v>
      </c>
      <c r="AO28" s="1955"/>
      <c r="AP28" s="1955"/>
      <c r="AQ28" s="1955"/>
      <c r="AR28" s="1955"/>
      <c r="AS28" s="1956"/>
      <c r="AT28" s="1957">
        <f t="shared" si="1"/>
        <v>4.9019607843137254E-3</v>
      </c>
      <c r="AU28" s="1958"/>
      <c r="AV28" s="1958"/>
      <c r="AW28" s="1958"/>
      <c r="AX28" s="1958"/>
      <c r="AY28" s="1959"/>
      <c r="AZ28" s="1208"/>
      <c r="BA28" s="1208"/>
      <c r="BB28" s="1208"/>
      <c r="BC28" s="1208"/>
      <c r="BD28" s="1208"/>
      <c r="BE28" s="1215"/>
    </row>
    <row r="29" spans="1:58" thickBot="1">
      <c r="A29" s="1208"/>
      <c r="B29" s="1988" t="s">
        <v>1574</v>
      </c>
      <c r="C29" s="1961"/>
      <c r="D29" s="1961"/>
      <c r="E29" s="1961"/>
      <c r="F29" s="1961"/>
      <c r="G29" s="1961"/>
      <c r="H29" s="1961"/>
      <c r="I29" s="1962"/>
      <c r="J29" s="1960">
        <f>SUM(J19:O28)</f>
        <v>204</v>
      </c>
      <c r="K29" s="1961"/>
      <c r="L29" s="1961"/>
      <c r="M29" s="1961"/>
      <c r="N29" s="1961"/>
      <c r="O29" s="1962"/>
      <c r="P29" s="1960">
        <f>SUM(P19:U28)</f>
        <v>4</v>
      </c>
      <c r="Q29" s="1961"/>
      <c r="R29" s="1961"/>
      <c r="S29" s="1961"/>
      <c r="T29" s="1961"/>
      <c r="U29" s="1962"/>
      <c r="V29" s="1960">
        <f>SUM(V19:AA28)</f>
        <v>79</v>
      </c>
      <c r="W29" s="1961"/>
      <c r="X29" s="1961"/>
      <c r="Y29" s="1961"/>
      <c r="Z29" s="1961"/>
      <c r="AA29" s="1962"/>
      <c r="AB29" s="1960">
        <f>SUM(AB19:AG28)</f>
        <v>121</v>
      </c>
      <c r="AC29" s="1961"/>
      <c r="AD29" s="1961"/>
      <c r="AE29" s="1961"/>
      <c r="AF29" s="1961"/>
      <c r="AG29" s="1962"/>
      <c r="AH29" s="1960">
        <f>SUM(AH19:AM28)</f>
        <v>0</v>
      </c>
      <c r="AI29" s="1961"/>
      <c r="AJ29" s="1961"/>
      <c r="AK29" s="1961"/>
      <c r="AL29" s="1961"/>
      <c r="AM29" s="1962"/>
      <c r="AN29" s="1960">
        <f>SUM(AN19:AS28)</f>
        <v>0</v>
      </c>
      <c r="AO29" s="1961"/>
      <c r="AP29" s="1961"/>
      <c r="AQ29" s="1961"/>
      <c r="AR29" s="1961"/>
      <c r="AS29" s="1962"/>
      <c r="AT29" s="1963">
        <f t="shared" si="1"/>
        <v>1</v>
      </c>
      <c r="AU29" s="1964"/>
      <c r="AV29" s="1964"/>
      <c r="AW29" s="1964"/>
      <c r="AX29" s="1964"/>
      <c r="AY29" s="1965"/>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66" t="s">
        <v>2355</v>
      </c>
      <c r="C31" s="1967"/>
      <c r="D31" s="1967"/>
      <c r="E31" s="1967"/>
      <c r="F31" s="1967"/>
      <c r="G31" s="1967"/>
      <c r="H31" s="1967"/>
      <c r="I31" s="1967"/>
      <c r="J31" s="1967"/>
      <c r="K31" s="1967"/>
      <c r="L31" s="1967"/>
      <c r="M31" s="1967"/>
      <c r="N31" s="1967"/>
      <c r="O31" s="1967"/>
      <c r="P31" s="1967"/>
      <c r="Q31" s="1967"/>
      <c r="R31" s="1967"/>
      <c r="S31" s="1967"/>
      <c r="T31" s="1967"/>
      <c r="U31" s="1967"/>
      <c r="V31" s="1967"/>
      <c r="W31" s="1967"/>
      <c r="X31" s="1967"/>
      <c r="Y31" s="1967"/>
      <c r="Z31" s="1967"/>
      <c r="AA31" s="1967"/>
      <c r="AB31" s="1967"/>
      <c r="AC31" s="1967"/>
      <c r="AD31" s="1967"/>
      <c r="AE31" s="1967"/>
      <c r="AF31" s="1967"/>
      <c r="AG31" s="1967"/>
      <c r="AH31" s="1967"/>
      <c r="AI31" s="1967"/>
      <c r="AJ31" s="1967"/>
      <c r="AK31" s="1967"/>
      <c r="AL31" s="1967"/>
      <c r="AM31" s="1967"/>
      <c r="AN31" s="1967"/>
      <c r="AO31" s="1967"/>
      <c r="AP31" s="1967"/>
      <c r="AQ31" s="1967"/>
      <c r="AR31" s="1967"/>
      <c r="AS31" s="1967"/>
      <c r="AT31" s="1967"/>
      <c r="AU31" s="1967"/>
      <c r="AV31" s="1967"/>
      <c r="AW31" s="1967"/>
      <c r="AX31" s="1967"/>
      <c r="AY31" s="1967"/>
      <c r="AZ31" s="1967"/>
      <c r="BA31" s="1967"/>
      <c r="BB31" s="1967"/>
      <c r="BC31" s="1967"/>
      <c r="BD31" s="1968"/>
      <c r="BE31" s="1215"/>
    </row>
    <row r="32" spans="1:58" thickBot="1">
      <c r="A32" s="1208"/>
      <c r="B32" s="1969" t="s">
        <v>2354</v>
      </c>
      <c r="C32" s="1970"/>
      <c r="D32" s="1970"/>
      <c r="E32" s="1970"/>
      <c r="F32" s="1970"/>
      <c r="G32" s="1970"/>
      <c r="H32" s="1970"/>
      <c r="I32" s="1970"/>
      <c r="J32" s="1973" t="s">
        <v>2353</v>
      </c>
      <c r="K32" s="1974"/>
      <c r="L32" s="1974"/>
      <c r="M32" s="1974"/>
      <c r="N32" s="1973" t="s">
        <v>2352</v>
      </c>
      <c r="O32" s="1974"/>
      <c r="P32" s="1974"/>
      <c r="Q32" s="1976"/>
      <c r="R32" s="1978" t="s">
        <v>2351</v>
      </c>
      <c r="S32" s="1979"/>
      <c r="T32" s="1979"/>
      <c r="U32" s="1979"/>
      <c r="V32" s="1979"/>
      <c r="W32" s="1979"/>
      <c r="X32" s="1979"/>
      <c r="Y32" s="1979"/>
      <c r="Z32" s="1979"/>
      <c r="AA32" s="1979"/>
      <c r="AB32" s="1979"/>
      <c r="AC32" s="1979"/>
      <c r="AD32" s="1979"/>
      <c r="AE32" s="1979"/>
      <c r="AF32" s="1979"/>
      <c r="AG32" s="1979"/>
      <c r="AH32" s="1979"/>
      <c r="AI32" s="1979"/>
      <c r="AJ32" s="1979"/>
      <c r="AK32" s="1979"/>
      <c r="AL32" s="1979"/>
      <c r="AM32" s="1979"/>
      <c r="AN32" s="1979"/>
      <c r="AO32" s="1979"/>
      <c r="AP32" s="1979"/>
      <c r="AQ32" s="1979"/>
      <c r="AR32" s="1979"/>
      <c r="AS32" s="1979"/>
      <c r="AT32" s="1979"/>
      <c r="AU32" s="1979"/>
      <c r="AV32" s="1979"/>
      <c r="AW32" s="1979"/>
      <c r="AX32" s="1979"/>
      <c r="AY32" s="1979"/>
      <c r="AZ32" s="1979"/>
      <c r="BA32" s="1979"/>
      <c r="BB32" s="1979"/>
      <c r="BC32" s="1979"/>
      <c r="BD32" s="1980"/>
      <c r="BE32" s="1215"/>
    </row>
    <row r="33" spans="1:58" ht="15" customHeight="1">
      <c r="A33" s="1208"/>
      <c r="B33" s="1971"/>
      <c r="C33" s="1972"/>
      <c r="D33" s="1972"/>
      <c r="E33" s="1972"/>
      <c r="F33" s="1972"/>
      <c r="G33" s="1972"/>
      <c r="H33" s="1972"/>
      <c r="I33" s="1972"/>
      <c r="J33" s="1975"/>
      <c r="K33" s="1975"/>
      <c r="L33" s="1975"/>
      <c r="M33" s="1975"/>
      <c r="N33" s="1975"/>
      <c r="O33" s="1975"/>
      <c r="P33" s="1975"/>
      <c r="Q33" s="1977"/>
      <c r="R33" s="1981" t="s">
        <v>2350</v>
      </c>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1982"/>
      <c r="AP33" s="1982"/>
      <c r="AQ33" s="1982"/>
      <c r="AR33" s="1982"/>
      <c r="AS33" s="1982"/>
      <c r="AT33" s="1982"/>
      <c r="AU33" s="1982"/>
      <c r="AV33" s="1982"/>
      <c r="AW33" s="1982"/>
      <c r="AX33" s="1982"/>
      <c r="AY33" s="1982"/>
      <c r="AZ33" s="1982"/>
      <c r="BA33" s="1982"/>
      <c r="BB33" s="1982"/>
      <c r="BC33" s="1982"/>
      <c r="BD33" s="1983"/>
      <c r="BE33" s="1215"/>
    </row>
    <row r="34" spans="1:58" ht="15.75" customHeight="1" thickBot="1">
      <c r="A34" s="1208"/>
      <c r="B34" s="1971"/>
      <c r="C34" s="1972"/>
      <c r="D34" s="1972"/>
      <c r="E34" s="1972"/>
      <c r="F34" s="1972"/>
      <c r="G34" s="1972"/>
      <c r="H34" s="1972"/>
      <c r="I34" s="1972"/>
      <c r="J34" s="1975"/>
      <c r="K34" s="1975"/>
      <c r="L34" s="1975"/>
      <c r="M34" s="1975"/>
      <c r="N34" s="1975"/>
      <c r="O34" s="1975"/>
      <c r="P34" s="1975"/>
      <c r="Q34" s="1977"/>
      <c r="R34" s="1984"/>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c r="AN34" s="1985"/>
      <c r="AO34" s="1985"/>
      <c r="AP34" s="1985"/>
      <c r="AQ34" s="1985"/>
      <c r="AR34" s="1985"/>
      <c r="AS34" s="1985"/>
      <c r="AT34" s="1985"/>
      <c r="AU34" s="1985"/>
      <c r="AV34" s="1985"/>
      <c r="AW34" s="1985"/>
      <c r="AX34" s="1985"/>
      <c r="AY34" s="1985"/>
      <c r="AZ34" s="1985"/>
      <c r="BA34" s="1985"/>
      <c r="BB34" s="1985"/>
      <c r="BC34" s="1985"/>
      <c r="BD34" s="1986"/>
      <c r="BE34" s="1215"/>
    </row>
    <row r="35" spans="1:58" ht="15.75" customHeight="1">
      <c r="A35" s="1208"/>
      <c r="B35" s="1971"/>
      <c r="C35" s="1972"/>
      <c r="D35" s="1972"/>
      <c r="E35" s="1972"/>
      <c r="F35" s="1972"/>
      <c r="G35" s="1972"/>
      <c r="H35" s="1972"/>
      <c r="I35" s="1972"/>
      <c r="J35" s="1975"/>
      <c r="K35" s="1975"/>
      <c r="L35" s="1975"/>
      <c r="M35" s="1975"/>
      <c r="N35" s="1975"/>
      <c r="O35" s="1975"/>
      <c r="P35" s="1975"/>
      <c r="Q35" s="1975"/>
      <c r="R35" s="1987">
        <v>0.3</v>
      </c>
      <c r="S35" s="1987"/>
      <c r="T35" s="1987"/>
      <c r="U35" s="1987"/>
      <c r="V35" s="1987">
        <v>0.4</v>
      </c>
      <c r="W35" s="1987"/>
      <c r="X35" s="1987"/>
      <c r="Y35" s="1987"/>
      <c r="Z35" s="1987">
        <v>0.5</v>
      </c>
      <c r="AA35" s="1987"/>
      <c r="AB35" s="1987"/>
      <c r="AC35" s="1987"/>
      <c r="AD35" s="1987">
        <v>0.6</v>
      </c>
      <c r="AE35" s="1987"/>
      <c r="AF35" s="1987"/>
      <c r="AG35" s="1987"/>
      <c r="AH35" s="1987">
        <v>0.7</v>
      </c>
      <c r="AI35" s="1987"/>
      <c r="AJ35" s="1987"/>
      <c r="AK35" s="1987"/>
      <c r="AL35" s="1992">
        <v>0.8</v>
      </c>
      <c r="AM35" s="1993"/>
      <c r="AN35" s="1993"/>
      <c r="AO35" s="1994"/>
      <c r="AP35" s="1995">
        <v>1.2</v>
      </c>
      <c r="AQ35" s="1996"/>
      <c r="AR35" s="1997"/>
      <c r="AS35" s="1989" t="s">
        <v>2349</v>
      </c>
      <c r="AT35" s="1990"/>
      <c r="AU35" s="1990"/>
      <c r="AV35" s="1990"/>
      <c r="AW35" s="1990"/>
      <c r="AX35" s="1998"/>
      <c r="AY35" s="1989" t="s">
        <v>2348</v>
      </c>
      <c r="AZ35" s="1990"/>
      <c r="BA35" s="1990"/>
      <c r="BB35" s="1990"/>
      <c r="BC35" s="1990"/>
      <c r="BD35" s="1991"/>
      <c r="BE35" s="1215"/>
    </row>
    <row r="36" spans="1:58" ht="15.75" customHeight="1">
      <c r="A36" s="1208"/>
      <c r="B36" s="2008" t="s">
        <v>2347</v>
      </c>
      <c r="C36" s="2009"/>
      <c r="D36" s="2009"/>
      <c r="E36" s="2009"/>
      <c r="F36" s="2009"/>
      <c r="G36" s="2009"/>
      <c r="H36" s="2009"/>
      <c r="I36" s="2009"/>
      <c r="J36" s="2010" t="s">
        <v>2346</v>
      </c>
      <c r="K36" s="2010"/>
      <c r="L36" s="2010"/>
      <c r="M36" s="2010"/>
      <c r="N36" s="2010">
        <v>55</v>
      </c>
      <c r="O36" s="2010"/>
      <c r="P36" s="2010"/>
      <c r="Q36" s="2010"/>
      <c r="R36" s="2011"/>
      <c r="S36" s="2011"/>
      <c r="T36" s="2011"/>
      <c r="U36" s="2011"/>
      <c r="V36" s="2011"/>
      <c r="W36" s="2011"/>
      <c r="X36" s="2011"/>
      <c r="Y36" s="2011"/>
      <c r="Z36" s="2011">
        <v>21</v>
      </c>
      <c r="AA36" s="2011"/>
      <c r="AB36" s="2011"/>
      <c r="AC36" s="2011"/>
      <c r="AD36" s="2011">
        <v>61</v>
      </c>
      <c r="AE36" s="2011"/>
      <c r="AF36" s="2011"/>
      <c r="AG36" s="2011"/>
      <c r="AH36" s="2011"/>
      <c r="AI36" s="2011"/>
      <c r="AJ36" s="2011"/>
      <c r="AK36" s="2011"/>
      <c r="AL36" s="1999"/>
      <c r="AM36" s="2000"/>
      <c r="AN36" s="2000"/>
      <c r="AO36" s="2001"/>
      <c r="AP36" s="1999"/>
      <c r="AQ36" s="2000"/>
      <c r="AR36" s="2001"/>
      <c r="AS36" s="2002">
        <f t="shared" ref="AS36:AS47" si="2">SUM(R36:AR36)</f>
        <v>82</v>
      </c>
      <c r="AT36" s="2003"/>
      <c r="AU36" s="2003"/>
      <c r="AV36" s="2003"/>
      <c r="AW36" s="2003"/>
      <c r="AX36" s="2004"/>
      <c r="AY36" s="2005">
        <f t="shared" ref="AY36:AY47" si="3">AS36/$J$29</f>
        <v>0.40196078431372551</v>
      </c>
      <c r="AZ36" s="2006"/>
      <c r="BA36" s="2006"/>
      <c r="BB36" s="2006"/>
      <c r="BC36" s="2006"/>
      <c r="BD36" s="2007"/>
      <c r="BE36" s="1215"/>
    </row>
    <row r="37" spans="1:58" ht="15.75" customHeight="1">
      <c r="A37" s="1208"/>
      <c r="B37" s="2008" t="s">
        <v>2345</v>
      </c>
      <c r="C37" s="2009"/>
      <c r="D37" s="2009"/>
      <c r="E37" s="2009"/>
      <c r="F37" s="2009"/>
      <c r="G37" s="2009"/>
      <c r="H37" s="2009"/>
      <c r="I37" s="2009"/>
      <c r="J37" s="2010" t="s">
        <v>2344</v>
      </c>
      <c r="K37" s="2010"/>
      <c r="L37" s="2010"/>
      <c r="M37" s="2010"/>
      <c r="N37" s="2010">
        <v>55</v>
      </c>
      <c r="O37" s="2010"/>
      <c r="P37" s="2010"/>
      <c r="Q37" s="2010"/>
      <c r="R37" s="2011">
        <v>21</v>
      </c>
      <c r="S37" s="2011"/>
      <c r="T37" s="2011"/>
      <c r="U37" s="2011"/>
      <c r="V37" s="2011"/>
      <c r="W37" s="2011"/>
      <c r="X37" s="2011"/>
      <c r="Y37" s="2011"/>
      <c r="Z37" s="2011">
        <v>40</v>
      </c>
      <c r="AA37" s="2011"/>
      <c r="AB37" s="2011"/>
      <c r="AC37" s="2011"/>
      <c r="AD37" s="2011"/>
      <c r="AE37" s="2011"/>
      <c r="AF37" s="2011"/>
      <c r="AG37" s="2011"/>
      <c r="AH37" s="2011">
        <v>21</v>
      </c>
      <c r="AI37" s="2011"/>
      <c r="AJ37" s="2011"/>
      <c r="AK37" s="2011"/>
      <c r="AL37" s="1999"/>
      <c r="AM37" s="2000"/>
      <c r="AN37" s="2000"/>
      <c r="AO37" s="2001"/>
      <c r="AP37" s="1999">
        <v>121</v>
      </c>
      <c r="AQ37" s="2000"/>
      <c r="AR37" s="2001"/>
      <c r="AS37" s="2002">
        <f t="shared" si="2"/>
        <v>203</v>
      </c>
      <c r="AT37" s="2003"/>
      <c r="AU37" s="2003"/>
      <c r="AV37" s="2003"/>
      <c r="AW37" s="2003"/>
      <c r="AX37" s="2004"/>
      <c r="AY37" s="2005">
        <f t="shared" si="3"/>
        <v>0.99509803921568629</v>
      </c>
      <c r="AZ37" s="2006"/>
      <c r="BA37" s="2006"/>
      <c r="BB37" s="2006"/>
      <c r="BC37" s="2006"/>
      <c r="BD37" s="2007"/>
      <c r="BE37" s="1215"/>
    </row>
    <row r="38" spans="1:58" ht="15.75" customHeight="1">
      <c r="A38" s="1208"/>
      <c r="B38" s="2008" t="s">
        <v>2343</v>
      </c>
      <c r="C38" s="2009"/>
      <c r="D38" s="2009"/>
      <c r="E38" s="2009"/>
      <c r="F38" s="2009"/>
      <c r="G38" s="2009"/>
      <c r="H38" s="2009"/>
      <c r="I38" s="2009"/>
      <c r="J38" s="2010" t="s">
        <v>2342</v>
      </c>
      <c r="K38" s="2010"/>
      <c r="L38" s="2010"/>
      <c r="M38" s="2010"/>
      <c r="N38" s="2010">
        <v>55</v>
      </c>
      <c r="O38" s="2010"/>
      <c r="P38" s="2010"/>
      <c r="Q38" s="2010"/>
      <c r="R38" s="2011">
        <v>21</v>
      </c>
      <c r="S38" s="2011"/>
      <c r="T38" s="2011"/>
      <c r="U38" s="2011"/>
      <c r="V38" s="2011"/>
      <c r="W38" s="2011"/>
      <c r="X38" s="2011"/>
      <c r="Y38" s="2011"/>
      <c r="Z38" s="2011">
        <v>41</v>
      </c>
      <c r="AA38" s="2011"/>
      <c r="AB38" s="2011"/>
      <c r="AC38" s="2011"/>
      <c r="AD38" s="2011">
        <v>93</v>
      </c>
      <c r="AE38" s="2011"/>
      <c r="AF38" s="2011"/>
      <c r="AG38" s="2011"/>
      <c r="AH38" s="2011">
        <v>48</v>
      </c>
      <c r="AI38" s="2011"/>
      <c r="AJ38" s="2011"/>
      <c r="AK38" s="2011"/>
      <c r="AL38" s="1999"/>
      <c r="AM38" s="2000"/>
      <c r="AN38" s="2000"/>
      <c r="AO38" s="2001"/>
      <c r="AP38" s="1999"/>
      <c r="AQ38" s="2000"/>
      <c r="AR38" s="2001"/>
      <c r="AS38" s="2002">
        <f t="shared" si="2"/>
        <v>203</v>
      </c>
      <c r="AT38" s="2003"/>
      <c r="AU38" s="2003"/>
      <c r="AV38" s="2003"/>
      <c r="AW38" s="2003"/>
      <c r="AX38" s="2004"/>
      <c r="AY38" s="2005">
        <f t="shared" si="3"/>
        <v>0.99509803921568629</v>
      </c>
      <c r="AZ38" s="2006"/>
      <c r="BA38" s="2006"/>
      <c r="BB38" s="2006"/>
      <c r="BC38" s="2006"/>
      <c r="BD38" s="2007"/>
      <c r="BE38" s="1215"/>
    </row>
    <row r="39" spans="1:58" ht="15.75" customHeight="1">
      <c r="A39" s="1208"/>
      <c r="B39" s="2008" t="s">
        <v>2341</v>
      </c>
      <c r="C39" s="2009"/>
      <c r="D39" s="2009"/>
      <c r="E39" s="2009"/>
      <c r="F39" s="2009"/>
      <c r="G39" s="2009"/>
      <c r="H39" s="2009"/>
      <c r="I39" s="2009"/>
      <c r="J39" s="2010"/>
      <c r="K39" s="2010"/>
      <c r="L39" s="2010"/>
      <c r="M39" s="2010"/>
      <c r="N39" s="2010"/>
      <c r="O39" s="2010"/>
      <c r="P39" s="2010"/>
      <c r="Q39" s="2010"/>
      <c r="R39" s="2011"/>
      <c r="S39" s="2011"/>
      <c r="T39" s="2011"/>
      <c r="U39" s="2011"/>
      <c r="V39" s="2011"/>
      <c r="W39" s="2011"/>
      <c r="X39" s="2011"/>
      <c r="Y39" s="2011"/>
      <c r="Z39" s="2011"/>
      <c r="AA39" s="2011"/>
      <c r="AB39" s="2011"/>
      <c r="AC39" s="2011"/>
      <c r="AD39" s="2011"/>
      <c r="AE39" s="2011"/>
      <c r="AF39" s="2011"/>
      <c r="AG39" s="2011"/>
      <c r="AH39" s="2011"/>
      <c r="AI39" s="2011"/>
      <c r="AJ39" s="2011"/>
      <c r="AK39" s="2011"/>
      <c r="AL39" s="1999"/>
      <c r="AM39" s="2000"/>
      <c r="AN39" s="2000"/>
      <c r="AO39" s="2001"/>
      <c r="AP39" s="1999"/>
      <c r="AQ39" s="2000"/>
      <c r="AR39" s="2001"/>
      <c r="AS39" s="2002">
        <f t="shared" si="2"/>
        <v>0</v>
      </c>
      <c r="AT39" s="2003"/>
      <c r="AU39" s="2003"/>
      <c r="AV39" s="2003"/>
      <c r="AW39" s="2003"/>
      <c r="AX39" s="2004"/>
      <c r="AY39" s="2005">
        <f t="shared" si="3"/>
        <v>0</v>
      </c>
      <c r="AZ39" s="2006"/>
      <c r="BA39" s="2006"/>
      <c r="BB39" s="2006"/>
      <c r="BC39" s="2006"/>
      <c r="BD39" s="2007"/>
      <c r="BE39" s="1215"/>
    </row>
    <row r="40" spans="1:58" ht="15.75" customHeight="1">
      <c r="A40" s="1208"/>
      <c r="B40" s="2008" t="s">
        <v>2341</v>
      </c>
      <c r="C40" s="2009"/>
      <c r="D40" s="2009"/>
      <c r="E40" s="2009"/>
      <c r="F40" s="2009"/>
      <c r="G40" s="2009"/>
      <c r="H40" s="2009"/>
      <c r="I40" s="2009"/>
      <c r="J40" s="2010"/>
      <c r="K40" s="2010"/>
      <c r="L40" s="2010"/>
      <c r="M40" s="2010"/>
      <c r="N40" s="2010"/>
      <c r="O40" s="2010"/>
      <c r="P40" s="2010"/>
      <c r="Q40" s="2010"/>
      <c r="R40" s="2011"/>
      <c r="S40" s="2011"/>
      <c r="T40" s="2011"/>
      <c r="U40" s="2011"/>
      <c r="V40" s="2011"/>
      <c r="W40" s="2011"/>
      <c r="X40" s="2011"/>
      <c r="Y40" s="2011"/>
      <c r="Z40" s="2011"/>
      <c r="AA40" s="2011"/>
      <c r="AB40" s="2011"/>
      <c r="AC40" s="2011"/>
      <c r="AD40" s="2011"/>
      <c r="AE40" s="2011"/>
      <c r="AF40" s="2011"/>
      <c r="AG40" s="2011"/>
      <c r="AH40" s="2011"/>
      <c r="AI40" s="2011"/>
      <c r="AJ40" s="2011"/>
      <c r="AK40" s="2011"/>
      <c r="AL40" s="1999"/>
      <c r="AM40" s="2000"/>
      <c r="AN40" s="2000"/>
      <c r="AO40" s="2001"/>
      <c r="AP40" s="1999"/>
      <c r="AQ40" s="2000"/>
      <c r="AR40" s="2001"/>
      <c r="AS40" s="2002">
        <f t="shared" si="2"/>
        <v>0</v>
      </c>
      <c r="AT40" s="2003"/>
      <c r="AU40" s="2003"/>
      <c r="AV40" s="2003"/>
      <c r="AW40" s="2003"/>
      <c r="AX40" s="2004"/>
      <c r="AY40" s="2005">
        <f t="shared" si="3"/>
        <v>0</v>
      </c>
      <c r="AZ40" s="2006"/>
      <c r="BA40" s="2006"/>
      <c r="BB40" s="2006"/>
      <c r="BC40" s="2006"/>
      <c r="BD40" s="2007"/>
      <c r="BE40" s="1215"/>
    </row>
    <row r="41" spans="1:58" ht="15.75" customHeight="1">
      <c r="A41" s="1208"/>
      <c r="B41" s="2008" t="s">
        <v>2340</v>
      </c>
      <c r="C41" s="2009"/>
      <c r="D41" s="2009"/>
      <c r="E41" s="2009"/>
      <c r="F41" s="2009"/>
      <c r="G41" s="2009"/>
      <c r="H41" s="2009"/>
      <c r="I41" s="2009"/>
      <c r="J41" s="2010"/>
      <c r="K41" s="2010"/>
      <c r="L41" s="2010"/>
      <c r="M41" s="2010"/>
      <c r="N41" s="2010"/>
      <c r="O41" s="2010"/>
      <c r="P41" s="2010"/>
      <c r="Q41" s="2010"/>
      <c r="R41" s="2011"/>
      <c r="S41" s="2011"/>
      <c r="T41" s="2011"/>
      <c r="U41" s="2011"/>
      <c r="V41" s="2011"/>
      <c r="W41" s="2011"/>
      <c r="X41" s="2011"/>
      <c r="Y41" s="2011"/>
      <c r="Z41" s="2011"/>
      <c r="AA41" s="2011"/>
      <c r="AB41" s="2011"/>
      <c r="AC41" s="2011"/>
      <c r="AD41" s="2011"/>
      <c r="AE41" s="2011"/>
      <c r="AF41" s="2011"/>
      <c r="AG41" s="2011"/>
      <c r="AH41" s="2011"/>
      <c r="AI41" s="2011"/>
      <c r="AJ41" s="2011"/>
      <c r="AK41" s="2011"/>
      <c r="AL41" s="1999"/>
      <c r="AM41" s="2000"/>
      <c r="AN41" s="2000"/>
      <c r="AO41" s="2001"/>
      <c r="AP41" s="1999"/>
      <c r="AQ41" s="2000"/>
      <c r="AR41" s="2001"/>
      <c r="AS41" s="2002">
        <f t="shared" si="2"/>
        <v>0</v>
      </c>
      <c r="AT41" s="2003"/>
      <c r="AU41" s="2003"/>
      <c r="AV41" s="2003"/>
      <c r="AW41" s="2003"/>
      <c r="AX41" s="2004"/>
      <c r="AY41" s="2005">
        <f t="shared" si="3"/>
        <v>0</v>
      </c>
      <c r="AZ41" s="2006"/>
      <c r="BA41" s="2006"/>
      <c r="BB41" s="2006"/>
      <c r="BC41" s="2006"/>
      <c r="BD41" s="2007"/>
      <c r="BE41" s="1215"/>
    </row>
    <row r="42" spans="1:58" ht="15.75" customHeight="1">
      <c r="A42" s="1208"/>
      <c r="B42" s="2008" t="s">
        <v>2340</v>
      </c>
      <c r="C42" s="2009"/>
      <c r="D42" s="2009"/>
      <c r="E42" s="2009"/>
      <c r="F42" s="2009"/>
      <c r="G42" s="2009"/>
      <c r="H42" s="2009"/>
      <c r="I42" s="2009"/>
      <c r="J42" s="2010"/>
      <c r="K42" s="2010"/>
      <c r="L42" s="2010"/>
      <c r="M42" s="2010"/>
      <c r="N42" s="2010"/>
      <c r="O42" s="2010"/>
      <c r="P42" s="2010"/>
      <c r="Q42" s="2010"/>
      <c r="R42" s="2011"/>
      <c r="S42" s="2011"/>
      <c r="T42" s="2011"/>
      <c r="U42" s="2011"/>
      <c r="V42" s="2011"/>
      <c r="W42" s="2011"/>
      <c r="X42" s="2011"/>
      <c r="Y42" s="2011"/>
      <c r="Z42" s="2011"/>
      <c r="AA42" s="2011"/>
      <c r="AB42" s="2011"/>
      <c r="AC42" s="2011"/>
      <c r="AD42" s="2011"/>
      <c r="AE42" s="2011"/>
      <c r="AF42" s="2011"/>
      <c r="AG42" s="2011"/>
      <c r="AH42" s="2011"/>
      <c r="AI42" s="2011"/>
      <c r="AJ42" s="2011"/>
      <c r="AK42" s="2011"/>
      <c r="AL42" s="1999"/>
      <c r="AM42" s="2000"/>
      <c r="AN42" s="2000"/>
      <c r="AO42" s="2001"/>
      <c r="AP42" s="1999"/>
      <c r="AQ42" s="2000"/>
      <c r="AR42" s="2001"/>
      <c r="AS42" s="2002">
        <f t="shared" si="2"/>
        <v>0</v>
      </c>
      <c r="AT42" s="2003"/>
      <c r="AU42" s="2003"/>
      <c r="AV42" s="2003"/>
      <c r="AW42" s="2003"/>
      <c r="AX42" s="2004"/>
      <c r="AY42" s="2005">
        <f t="shared" si="3"/>
        <v>0</v>
      </c>
      <c r="AZ42" s="2006"/>
      <c r="BA42" s="2006"/>
      <c r="BB42" s="2006"/>
      <c r="BC42" s="2006"/>
      <c r="BD42" s="2007"/>
      <c r="BE42" s="1215"/>
    </row>
    <row r="43" spans="1:58" ht="15.75" customHeight="1">
      <c r="A43" s="1208"/>
      <c r="B43" s="2012" t="s">
        <v>2339</v>
      </c>
      <c r="C43" s="2013"/>
      <c r="D43" s="2013"/>
      <c r="E43" s="2013"/>
      <c r="F43" s="2013"/>
      <c r="G43" s="2013"/>
      <c r="H43" s="2013"/>
      <c r="I43" s="2013"/>
      <c r="J43" s="2010"/>
      <c r="K43" s="2010"/>
      <c r="L43" s="2010"/>
      <c r="M43" s="2010"/>
      <c r="N43" s="2010"/>
      <c r="O43" s="2010"/>
      <c r="P43" s="2010"/>
      <c r="Q43" s="2010"/>
      <c r="R43" s="2011"/>
      <c r="S43" s="2011"/>
      <c r="T43" s="2011"/>
      <c r="U43" s="2011"/>
      <c r="V43" s="2011"/>
      <c r="W43" s="2011"/>
      <c r="X43" s="2011"/>
      <c r="Y43" s="2011"/>
      <c r="Z43" s="2011"/>
      <c r="AA43" s="2011"/>
      <c r="AB43" s="2011"/>
      <c r="AC43" s="2011"/>
      <c r="AD43" s="2011"/>
      <c r="AE43" s="2011"/>
      <c r="AF43" s="2011"/>
      <c r="AG43" s="2011"/>
      <c r="AH43" s="2011"/>
      <c r="AI43" s="2011"/>
      <c r="AJ43" s="2011"/>
      <c r="AK43" s="2011"/>
      <c r="AL43" s="1999"/>
      <c r="AM43" s="2000"/>
      <c r="AN43" s="2000"/>
      <c r="AO43" s="2001"/>
      <c r="AP43" s="1999"/>
      <c r="AQ43" s="2000"/>
      <c r="AR43" s="2001"/>
      <c r="AS43" s="2002">
        <f t="shared" si="2"/>
        <v>0</v>
      </c>
      <c r="AT43" s="2003"/>
      <c r="AU43" s="2003"/>
      <c r="AV43" s="2003"/>
      <c r="AW43" s="2003"/>
      <c r="AX43" s="2004"/>
      <c r="AY43" s="2005">
        <f t="shared" si="3"/>
        <v>0</v>
      </c>
      <c r="AZ43" s="2006"/>
      <c r="BA43" s="2006"/>
      <c r="BB43" s="2006"/>
      <c r="BC43" s="2006"/>
      <c r="BD43" s="2007"/>
      <c r="BE43" s="1215"/>
    </row>
    <row r="44" spans="1:58" ht="15.75" customHeight="1">
      <c r="A44" s="1208"/>
      <c r="B44" s="2012" t="s">
        <v>2338</v>
      </c>
      <c r="C44" s="2013"/>
      <c r="D44" s="2013"/>
      <c r="E44" s="2013"/>
      <c r="F44" s="2013"/>
      <c r="G44" s="2013"/>
      <c r="H44" s="2013"/>
      <c r="I44" s="2013"/>
      <c r="J44" s="2010"/>
      <c r="K44" s="2010"/>
      <c r="L44" s="2010"/>
      <c r="M44" s="2010"/>
      <c r="N44" s="2010"/>
      <c r="O44" s="2010"/>
      <c r="P44" s="2010"/>
      <c r="Q44" s="2010"/>
      <c r="R44" s="2011"/>
      <c r="S44" s="2011"/>
      <c r="T44" s="2011"/>
      <c r="U44" s="2011"/>
      <c r="V44" s="2011"/>
      <c r="W44" s="2011"/>
      <c r="X44" s="2011"/>
      <c r="Y44" s="2011"/>
      <c r="Z44" s="2011"/>
      <c r="AA44" s="2011"/>
      <c r="AB44" s="2011"/>
      <c r="AC44" s="2011"/>
      <c r="AD44" s="2011"/>
      <c r="AE44" s="2011"/>
      <c r="AF44" s="2011"/>
      <c r="AG44" s="2011"/>
      <c r="AH44" s="2011"/>
      <c r="AI44" s="2011"/>
      <c r="AJ44" s="2011"/>
      <c r="AK44" s="2011"/>
      <c r="AL44" s="1999"/>
      <c r="AM44" s="2000"/>
      <c r="AN44" s="2000"/>
      <c r="AO44" s="2001"/>
      <c r="AP44" s="1999"/>
      <c r="AQ44" s="2000"/>
      <c r="AR44" s="2001"/>
      <c r="AS44" s="2002">
        <f t="shared" si="2"/>
        <v>0</v>
      </c>
      <c r="AT44" s="2003"/>
      <c r="AU44" s="2003"/>
      <c r="AV44" s="2003"/>
      <c r="AW44" s="2003"/>
      <c r="AX44" s="2004"/>
      <c r="AY44" s="2005">
        <f t="shared" si="3"/>
        <v>0</v>
      </c>
      <c r="AZ44" s="2006"/>
      <c r="BA44" s="2006"/>
      <c r="BB44" s="2006"/>
      <c r="BC44" s="2006"/>
      <c r="BD44" s="2007"/>
      <c r="BE44" s="1215"/>
    </row>
    <row r="45" spans="1:58" ht="15.75" customHeight="1">
      <c r="A45" s="1208"/>
      <c r="B45" s="2012" t="s">
        <v>2337</v>
      </c>
      <c r="C45" s="2013"/>
      <c r="D45" s="2013"/>
      <c r="E45" s="2013"/>
      <c r="F45" s="2013"/>
      <c r="G45" s="2013"/>
      <c r="H45" s="2013"/>
      <c r="I45" s="2013"/>
      <c r="J45" s="2010"/>
      <c r="K45" s="2010"/>
      <c r="L45" s="2010"/>
      <c r="M45" s="2010"/>
      <c r="N45" s="2010"/>
      <c r="O45" s="2010"/>
      <c r="P45" s="2010"/>
      <c r="Q45" s="2010"/>
      <c r="R45" s="2011"/>
      <c r="S45" s="2011"/>
      <c r="T45" s="2011"/>
      <c r="U45" s="2011"/>
      <c r="V45" s="2011"/>
      <c r="W45" s="2011"/>
      <c r="X45" s="2011"/>
      <c r="Y45" s="2011"/>
      <c r="Z45" s="2011"/>
      <c r="AA45" s="2011"/>
      <c r="AB45" s="2011"/>
      <c r="AC45" s="2011"/>
      <c r="AD45" s="2011"/>
      <c r="AE45" s="2011"/>
      <c r="AF45" s="2011"/>
      <c r="AG45" s="2011"/>
      <c r="AH45" s="2011"/>
      <c r="AI45" s="2011"/>
      <c r="AJ45" s="2011"/>
      <c r="AK45" s="2011"/>
      <c r="AL45" s="1999"/>
      <c r="AM45" s="2000"/>
      <c r="AN45" s="2000"/>
      <c r="AO45" s="2001"/>
      <c r="AP45" s="1999"/>
      <c r="AQ45" s="2000"/>
      <c r="AR45" s="2001"/>
      <c r="AS45" s="2002">
        <f t="shared" si="2"/>
        <v>0</v>
      </c>
      <c r="AT45" s="2003"/>
      <c r="AU45" s="2003"/>
      <c r="AV45" s="2003"/>
      <c r="AW45" s="2003"/>
      <c r="AX45" s="2004"/>
      <c r="AY45" s="2005">
        <f t="shared" si="3"/>
        <v>0</v>
      </c>
      <c r="AZ45" s="2006"/>
      <c r="BA45" s="2006"/>
      <c r="BB45" s="2006"/>
      <c r="BC45" s="2006"/>
      <c r="BD45" s="2007"/>
      <c r="BE45" s="1215"/>
    </row>
    <row r="46" spans="1:58" ht="15.75" customHeight="1">
      <c r="A46" s="1208"/>
      <c r="B46" s="2012" t="s">
        <v>2273</v>
      </c>
      <c r="C46" s="2013"/>
      <c r="D46" s="2013"/>
      <c r="E46" s="2013"/>
      <c r="F46" s="2013"/>
      <c r="G46" s="2013"/>
      <c r="H46" s="2013"/>
      <c r="I46" s="2013"/>
      <c r="J46" s="2010"/>
      <c r="K46" s="2010"/>
      <c r="L46" s="2010"/>
      <c r="M46" s="2010"/>
      <c r="N46" s="2010"/>
      <c r="O46" s="2010"/>
      <c r="P46" s="2010"/>
      <c r="Q46" s="2010"/>
      <c r="R46" s="2011"/>
      <c r="S46" s="2011"/>
      <c r="T46" s="2011"/>
      <c r="U46" s="2011"/>
      <c r="V46" s="2011"/>
      <c r="W46" s="2011"/>
      <c r="X46" s="2011"/>
      <c r="Y46" s="2011"/>
      <c r="Z46" s="2011"/>
      <c r="AA46" s="2011"/>
      <c r="AB46" s="2011"/>
      <c r="AC46" s="2011"/>
      <c r="AD46" s="2011"/>
      <c r="AE46" s="2011"/>
      <c r="AF46" s="2011"/>
      <c r="AG46" s="2011"/>
      <c r="AH46" s="2011"/>
      <c r="AI46" s="2011"/>
      <c r="AJ46" s="2011"/>
      <c r="AK46" s="2011"/>
      <c r="AL46" s="1999"/>
      <c r="AM46" s="2000"/>
      <c r="AN46" s="2000"/>
      <c r="AO46" s="2001"/>
      <c r="AP46" s="1999"/>
      <c r="AQ46" s="2000"/>
      <c r="AR46" s="2001"/>
      <c r="AS46" s="2002">
        <f t="shared" si="2"/>
        <v>0</v>
      </c>
      <c r="AT46" s="2003"/>
      <c r="AU46" s="2003"/>
      <c r="AV46" s="2003"/>
      <c r="AW46" s="2003"/>
      <c r="AX46" s="2004"/>
      <c r="AY46" s="2005">
        <f t="shared" si="3"/>
        <v>0</v>
      </c>
      <c r="AZ46" s="2006"/>
      <c r="BA46" s="2006"/>
      <c r="BB46" s="2006"/>
      <c r="BC46" s="2006"/>
      <c r="BD46" s="2007"/>
      <c r="BE46" s="1215"/>
    </row>
    <row r="47" spans="1:58" ht="15.75" customHeight="1" thickBot="1">
      <c r="A47" s="1208"/>
      <c r="B47" s="2014" t="s">
        <v>300</v>
      </c>
      <c r="C47" s="2015"/>
      <c r="D47" s="2015"/>
      <c r="E47" s="2015"/>
      <c r="F47" s="2015"/>
      <c r="G47" s="2015"/>
      <c r="H47" s="2015"/>
      <c r="I47" s="2015"/>
      <c r="J47" s="2016"/>
      <c r="K47" s="2016"/>
      <c r="L47" s="2016"/>
      <c r="M47" s="2016"/>
      <c r="N47" s="2016"/>
      <c r="O47" s="2016"/>
      <c r="P47" s="2016"/>
      <c r="Q47" s="2016"/>
      <c r="R47" s="2017"/>
      <c r="S47" s="2017"/>
      <c r="T47" s="2017"/>
      <c r="U47" s="2017"/>
      <c r="V47" s="2017"/>
      <c r="W47" s="2017"/>
      <c r="X47" s="2017"/>
      <c r="Y47" s="2017"/>
      <c r="Z47" s="2017"/>
      <c r="AA47" s="2017"/>
      <c r="AB47" s="2017"/>
      <c r="AC47" s="2017"/>
      <c r="AD47" s="2017"/>
      <c r="AE47" s="2017"/>
      <c r="AF47" s="2017"/>
      <c r="AG47" s="2017"/>
      <c r="AH47" s="2017"/>
      <c r="AI47" s="2017"/>
      <c r="AJ47" s="2017"/>
      <c r="AK47" s="2017"/>
      <c r="AL47" s="2021"/>
      <c r="AM47" s="2022"/>
      <c r="AN47" s="2022"/>
      <c r="AO47" s="2023"/>
      <c r="AP47" s="2021"/>
      <c r="AQ47" s="2022"/>
      <c r="AR47" s="2023"/>
      <c r="AS47" s="2002">
        <f t="shared" si="2"/>
        <v>0</v>
      </c>
      <c r="AT47" s="2003"/>
      <c r="AU47" s="2003"/>
      <c r="AV47" s="2003"/>
      <c r="AW47" s="2003"/>
      <c r="AX47" s="2004"/>
      <c r="AY47" s="2018">
        <f t="shared" si="3"/>
        <v>0</v>
      </c>
      <c r="AZ47" s="2019"/>
      <c r="BA47" s="2019"/>
      <c r="BB47" s="2019"/>
      <c r="BC47" s="2019"/>
      <c r="BD47" s="2020"/>
      <c r="BE47" s="1215"/>
    </row>
    <row r="48" spans="1:58" ht="15.75" customHeight="1">
      <c r="A48" s="1208"/>
      <c r="B48" s="1217" t="s">
        <v>2336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2335</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24" t="s">
        <v>2334</v>
      </c>
      <c r="C50" s="2025"/>
      <c r="D50" s="2025"/>
      <c r="E50" s="2025"/>
      <c r="F50" s="2025"/>
      <c r="G50" s="2025"/>
      <c r="H50" s="2025"/>
      <c r="I50" s="2025"/>
      <c r="J50" s="2025"/>
      <c r="K50" s="2025"/>
      <c r="L50" s="2025"/>
      <c r="M50" s="2025"/>
      <c r="N50" s="2025"/>
      <c r="O50" s="2025"/>
      <c r="P50" s="2025"/>
      <c r="Q50" s="2025"/>
      <c r="R50" s="2025"/>
      <c r="S50" s="2025"/>
      <c r="T50" s="2025"/>
      <c r="U50" s="2025"/>
      <c r="V50" s="2025"/>
      <c r="W50" s="2025"/>
      <c r="X50" s="2025"/>
      <c r="Y50" s="2025"/>
      <c r="Z50" s="2025"/>
      <c r="AA50" s="2025"/>
      <c r="AB50" s="2025"/>
      <c r="AC50" s="2025"/>
      <c r="AD50" s="2025"/>
      <c r="AE50" s="2025"/>
      <c r="AF50" s="2025"/>
      <c r="AG50" s="2025"/>
      <c r="AH50" s="2025"/>
      <c r="AI50" s="2025"/>
      <c r="AJ50" s="2025"/>
      <c r="AK50" s="2025"/>
      <c r="AL50" s="2025"/>
      <c r="AM50" s="2025"/>
      <c r="AN50" s="2025"/>
      <c r="AO50" s="2026"/>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27" t="s">
        <v>2329</v>
      </c>
      <c r="C51" s="2028"/>
      <c r="D51" s="2028"/>
      <c r="E51" s="2028"/>
      <c r="F51" s="2028"/>
      <c r="G51" s="2028"/>
      <c r="H51" s="2028"/>
      <c r="I51" s="2028"/>
      <c r="J51" s="2028" t="s">
        <v>2333</v>
      </c>
      <c r="K51" s="2028"/>
      <c r="L51" s="2028"/>
      <c r="M51" s="2028"/>
      <c r="N51" s="2028"/>
      <c r="O51" s="2028"/>
      <c r="P51" s="2028"/>
      <c r="Q51" s="2028"/>
      <c r="R51" s="2029" t="s">
        <v>2332</v>
      </c>
      <c r="S51" s="2029"/>
      <c r="T51" s="2029"/>
      <c r="U51" s="2029"/>
      <c r="V51" s="2029"/>
      <c r="W51" s="2029"/>
      <c r="X51" s="2029"/>
      <c r="Y51" s="2029"/>
      <c r="Z51" s="2029" t="s">
        <v>2331</v>
      </c>
      <c r="AA51" s="2029"/>
      <c r="AB51" s="2029"/>
      <c r="AC51" s="2029"/>
      <c r="AD51" s="2029"/>
      <c r="AE51" s="2029"/>
      <c r="AF51" s="2029"/>
      <c r="AG51" s="2029"/>
      <c r="AH51" s="2029" t="s">
        <v>2330</v>
      </c>
      <c r="AI51" s="2029"/>
      <c r="AJ51" s="2029"/>
      <c r="AK51" s="2029"/>
      <c r="AL51" s="2029"/>
      <c r="AM51" s="2029"/>
      <c r="AN51" s="2029"/>
      <c r="AO51" s="2030"/>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12" t="s">
        <v>2766</v>
      </c>
      <c r="C52" s="2013"/>
      <c r="D52" s="2013"/>
      <c r="E52" s="2013"/>
      <c r="F52" s="2013"/>
      <c r="G52" s="2013"/>
      <c r="H52" s="2013"/>
      <c r="I52" s="2013"/>
      <c r="J52" s="2031">
        <v>15</v>
      </c>
      <c r="K52" s="2031"/>
      <c r="L52" s="2031"/>
      <c r="M52" s="2031"/>
      <c r="N52" s="2031"/>
      <c r="O52" s="2031"/>
      <c r="P52" s="2031"/>
      <c r="Q52" s="2031"/>
      <c r="R52" s="2032">
        <v>9700</v>
      </c>
      <c r="S52" s="2032"/>
      <c r="T52" s="2032"/>
      <c r="U52" s="2032"/>
      <c r="V52" s="2032"/>
      <c r="W52" s="2032"/>
      <c r="X52" s="2032"/>
      <c r="Y52" s="2032"/>
      <c r="Z52" s="2033">
        <f>84/52</f>
        <v>1.6153846153846154</v>
      </c>
      <c r="AA52" s="2033"/>
      <c r="AB52" s="2033"/>
      <c r="AC52" s="2033"/>
      <c r="AD52" s="2033"/>
      <c r="AE52" s="2033"/>
      <c r="AF52" s="2033"/>
      <c r="AG52" s="2033"/>
      <c r="AH52" s="2034"/>
      <c r="AI52" s="2034"/>
      <c r="AJ52" s="2034"/>
      <c r="AK52" s="2034"/>
      <c r="AL52" s="2034"/>
      <c r="AM52" s="2034"/>
      <c r="AN52" s="2034"/>
      <c r="AO52" s="2035"/>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12" t="s">
        <v>2766</v>
      </c>
      <c r="C53" s="2013"/>
      <c r="D53" s="2013"/>
      <c r="E53" s="2013"/>
      <c r="F53" s="2013"/>
      <c r="G53" s="2013"/>
      <c r="H53" s="2013"/>
      <c r="I53" s="2013"/>
      <c r="J53" s="2031">
        <v>15</v>
      </c>
      <c r="K53" s="2031"/>
      <c r="L53" s="2031"/>
      <c r="M53" s="2031"/>
      <c r="N53" s="2031"/>
      <c r="O53" s="2031"/>
      <c r="P53" s="2031"/>
      <c r="Q53" s="2031"/>
      <c r="R53" s="2032">
        <f>30600-R52</f>
        <v>20900</v>
      </c>
      <c r="S53" s="2032"/>
      <c r="T53" s="2032"/>
      <c r="U53" s="2032"/>
      <c r="V53" s="2032"/>
      <c r="W53" s="2032"/>
      <c r="X53" s="2032"/>
      <c r="Y53" s="2032"/>
      <c r="Z53" s="2033">
        <f>194/52</f>
        <v>3.7307692307692308</v>
      </c>
      <c r="AA53" s="2033"/>
      <c r="AB53" s="2033"/>
      <c r="AC53" s="2033"/>
      <c r="AD53" s="2033"/>
      <c r="AE53" s="2033"/>
      <c r="AF53" s="2033"/>
      <c r="AG53" s="2033"/>
      <c r="AH53" s="2034"/>
      <c r="AI53" s="2034"/>
      <c r="AJ53" s="2034"/>
      <c r="AK53" s="2034"/>
      <c r="AL53" s="2034"/>
      <c r="AM53" s="2034"/>
      <c r="AN53" s="2034"/>
      <c r="AO53" s="2035"/>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12"/>
      <c r="C54" s="2013"/>
      <c r="D54" s="2013"/>
      <c r="E54" s="2013"/>
      <c r="F54" s="2013"/>
      <c r="G54" s="2013"/>
      <c r="H54" s="2013"/>
      <c r="I54" s="2013"/>
      <c r="J54" s="2031"/>
      <c r="K54" s="2031"/>
      <c r="L54" s="2031"/>
      <c r="M54" s="2031"/>
      <c r="N54" s="2031"/>
      <c r="O54" s="2031"/>
      <c r="P54" s="2031"/>
      <c r="Q54" s="2031"/>
      <c r="R54" s="2032"/>
      <c r="S54" s="2032"/>
      <c r="T54" s="2032"/>
      <c r="U54" s="2032"/>
      <c r="V54" s="2032"/>
      <c r="W54" s="2032"/>
      <c r="X54" s="2032"/>
      <c r="Y54" s="2032"/>
      <c r="Z54" s="2033"/>
      <c r="AA54" s="2033"/>
      <c r="AB54" s="2033"/>
      <c r="AC54" s="2033"/>
      <c r="AD54" s="2033"/>
      <c r="AE54" s="2033"/>
      <c r="AF54" s="2033"/>
      <c r="AG54" s="2033"/>
      <c r="AH54" s="2034"/>
      <c r="AI54" s="2034"/>
      <c r="AJ54" s="2034"/>
      <c r="AK54" s="2034"/>
      <c r="AL54" s="2034"/>
      <c r="AM54" s="2034"/>
      <c r="AN54" s="2034"/>
      <c r="AO54" s="2035"/>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12"/>
      <c r="C55" s="2013"/>
      <c r="D55" s="2013"/>
      <c r="E55" s="2013"/>
      <c r="F55" s="2013"/>
      <c r="G55" s="2013"/>
      <c r="H55" s="2013"/>
      <c r="I55" s="2013"/>
      <c r="J55" s="2031"/>
      <c r="K55" s="2031"/>
      <c r="L55" s="2031"/>
      <c r="M55" s="2031"/>
      <c r="N55" s="2031"/>
      <c r="O55" s="2031"/>
      <c r="P55" s="2031"/>
      <c r="Q55" s="2031"/>
      <c r="R55" s="2032"/>
      <c r="S55" s="2032"/>
      <c r="T55" s="2032"/>
      <c r="U55" s="2032"/>
      <c r="V55" s="2032"/>
      <c r="W55" s="2032"/>
      <c r="X55" s="2032"/>
      <c r="Y55" s="2032"/>
      <c r="Z55" s="2033"/>
      <c r="AA55" s="2033"/>
      <c r="AB55" s="2033"/>
      <c r="AC55" s="2033"/>
      <c r="AD55" s="2033"/>
      <c r="AE55" s="2033"/>
      <c r="AF55" s="2033"/>
      <c r="AG55" s="2033"/>
      <c r="AH55" s="2034"/>
      <c r="AI55" s="2034"/>
      <c r="AJ55" s="2034"/>
      <c r="AK55" s="2034"/>
      <c r="AL55" s="2034"/>
      <c r="AM55" s="2034"/>
      <c r="AN55" s="2034"/>
      <c r="AO55" s="2035"/>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012"/>
      <c r="C56" s="2013"/>
      <c r="D56" s="2013"/>
      <c r="E56" s="2013"/>
      <c r="F56" s="2013"/>
      <c r="G56" s="2013"/>
      <c r="H56" s="2013"/>
      <c r="I56" s="2013"/>
      <c r="J56" s="2031"/>
      <c r="K56" s="2031"/>
      <c r="L56" s="2031"/>
      <c r="M56" s="2031"/>
      <c r="N56" s="2031"/>
      <c r="O56" s="2031"/>
      <c r="P56" s="2031"/>
      <c r="Q56" s="2031"/>
      <c r="R56" s="2032"/>
      <c r="S56" s="2032"/>
      <c r="T56" s="2032"/>
      <c r="U56" s="2032"/>
      <c r="V56" s="2032"/>
      <c r="W56" s="2032"/>
      <c r="X56" s="2032"/>
      <c r="Y56" s="2032"/>
      <c r="Z56" s="2033"/>
      <c r="AA56" s="2033"/>
      <c r="AB56" s="2033"/>
      <c r="AC56" s="2033"/>
      <c r="AD56" s="2033"/>
      <c r="AE56" s="2033"/>
      <c r="AF56" s="2033"/>
      <c r="AG56" s="2033"/>
      <c r="AH56" s="2034"/>
      <c r="AI56" s="2034"/>
      <c r="AJ56" s="2034"/>
      <c r="AK56" s="2034"/>
      <c r="AL56" s="2034"/>
      <c r="AM56" s="2034"/>
      <c r="AN56" s="2034"/>
      <c r="AO56" s="2035"/>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45" t="s">
        <v>1574</v>
      </c>
      <c r="C57" s="2046"/>
      <c r="D57" s="2046"/>
      <c r="E57" s="2046"/>
      <c r="F57" s="2046"/>
      <c r="G57" s="2046"/>
      <c r="H57" s="2046"/>
      <c r="I57" s="2046"/>
      <c r="J57" s="2046"/>
      <c r="K57" s="2046"/>
      <c r="L57" s="2046"/>
      <c r="M57" s="2046"/>
      <c r="N57" s="2046"/>
      <c r="O57" s="2046"/>
      <c r="P57" s="2046"/>
      <c r="Q57" s="2046"/>
      <c r="R57" s="2047">
        <f>SUM(R52:Y56)</f>
        <v>30600</v>
      </c>
      <c r="S57" s="2047"/>
      <c r="T57" s="2047"/>
      <c r="U57" s="2047"/>
      <c r="V57" s="2047"/>
      <c r="W57" s="2047"/>
      <c r="X57" s="2047"/>
      <c r="Y57" s="2047"/>
      <c r="Z57" s="2048">
        <f>SUM(Z52:AG56)</f>
        <v>5.3461538461538467</v>
      </c>
      <c r="AA57" s="2048"/>
      <c r="AB57" s="2048"/>
      <c r="AC57" s="2048"/>
      <c r="AD57" s="2048"/>
      <c r="AE57" s="2048"/>
      <c r="AF57" s="2048"/>
      <c r="AG57" s="2048"/>
      <c r="AH57" s="2049"/>
      <c r="AI57" s="2049"/>
      <c r="AJ57" s="2049"/>
      <c r="AK57" s="2049"/>
      <c r="AL57" s="2049"/>
      <c r="AM57" s="2049"/>
      <c r="AN57" s="2049"/>
      <c r="AO57" s="2050"/>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36" t="s">
        <v>2329</v>
      </c>
      <c r="C59" s="2037"/>
      <c r="D59" s="2037"/>
      <c r="E59" s="2037"/>
      <c r="F59" s="2037"/>
      <c r="G59" s="2037"/>
      <c r="H59" s="2037"/>
      <c r="I59" s="2038"/>
      <c r="J59" s="1930" t="s">
        <v>2328</v>
      </c>
      <c r="K59" s="1930"/>
      <c r="L59" s="1930"/>
      <c r="M59" s="1930"/>
      <c r="N59" s="1930"/>
      <c r="O59" s="1930"/>
      <c r="P59" s="1930"/>
      <c r="Q59" s="1930"/>
      <c r="R59" s="1930"/>
      <c r="S59" s="1930"/>
      <c r="T59" s="1930"/>
      <c r="U59" s="1930"/>
      <c r="V59" s="1930"/>
      <c r="W59" s="1930"/>
      <c r="X59" s="1930"/>
      <c r="Y59" s="1930"/>
      <c r="Z59" s="1930"/>
      <c r="AA59" s="1930"/>
      <c r="AB59" s="1930"/>
      <c r="AC59" s="1930"/>
      <c r="AD59" s="1930"/>
      <c r="AE59" s="1930"/>
      <c r="AF59" s="1930"/>
      <c r="AG59" s="1930"/>
      <c r="AH59" s="1930"/>
      <c r="AI59" s="1930"/>
      <c r="AJ59" s="1930"/>
      <c r="AK59" s="1930"/>
      <c r="AL59" s="1930"/>
      <c r="AM59" s="1930"/>
      <c r="AN59" s="1930"/>
      <c r="AO59" s="1930"/>
      <c r="AP59" s="1930"/>
      <c r="AQ59" s="1930"/>
      <c r="AR59" s="1930"/>
      <c r="AS59" s="1930"/>
      <c r="AT59" s="1930"/>
      <c r="AU59" s="1930"/>
      <c r="AV59" s="1930"/>
      <c r="AW59" s="1931"/>
      <c r="AX59" s="1208"/>
      <c r="AY59" s="1208"/>
      <c r="AZ59" s="1208"/>
      <c r="BA59" s="1208"/>
      <c r="BB59" s="1208"/>
      <c r="BC59" s="1208"/>
      <c r="BD59" s="1208"/>
      <c r="BE59" s="1215"/>
    </row>
    <row r="60" spans="1:77" ht="15.75" customHeight="1">
      <c r="A60" s="1208"/>
      <c r="B60" s="2039" t="str">
        <f>IF(B52="", "", B52)</f>
        <v>LifeSTEPS</v>
      </c>
      <c r="C60" s="2040"/>
      <c r="D60" s="2040"/>
      <c r="E60" s="2040"/>
      <c r="F60" s="2040"/>
      <c r="G60" s="2040"/>
      <c r="H60" s="2040"/>
      <c r="I60" s="2041"/>
      <c r="J60" s="2042" t="s">
        <v>2767</v>
      </c>
      <c r="K60" s="2043"/>
      <c r="L60" s="2043"/>
      <c r="M60" s="2043"/>
      <c r="N60" s="2043"/>
      <c r="O60" s="2043"/>
      <c r="P60" s="2043"/>
      <c r="Q60" s="2043"/>
      <c r="R60" s="2043"/>
      <c r="S60" s="2043"/>
      <c r="T60" s="2043"/>
      <c r="U60" s="2043"/>
      <c r="V60" s="2043"/>
      <c r="W60" s="2043"/>
      <c r="X60" s="2043"/>
      <c r="Y60" s="2043"/>
      <c r="Z60" s="2043"/>
      <c r="AA60" s="2043"/>
      <c r="AB60" s="2043"/>
      <c r="AC60" s="2043"/>
      <c r="AD60" s="2043"/>
      <c r="AE60" s="2043"/>
      <c r="AF60" s="2043"/>
      <c r="AG60" s="2043"/>
      <c r="AH60" s="2043"/>
      <c r="AI60" s="2043"/>
      <c r="AJ60" s="2043"/>
      <c r="AK60" s="2043"/>
      <c r="AL60" s="2043"/>
      <c r="AM60" s="2043"/>
      <c r="AN60" s="2043"/>
      <c r="AO60" s="2043"/>
      <c r="AP60" s="2043"/>
      <c r="AQ60" s="2043"/>
      <c r="AR60" s="2043"/>
      <c r="AS60" s="2043"/>
      <c r="AT60" s="2043"/>
      <c r="AU60" s="2043"/>
      <c r="AV60" s="2043"/>
      <c r="AW60" s="2044"/>
      <c r="AX60" s="1208"/>
      <c r="AY60" s="1208"/>
      <c r="AZ60" s="1208"/>
      <c r="BA60" s="1208"/>
      <c r="BB60" s="1208"/>
      <c r="BC60" s="1208"/>
      <c r="BD60" s="1208"/>
      <c r="BE60" s="1215"/>
    </row>
    <row r="61" spans="1:77" ht="15.75" customHeight="1">
      <c r="A61" s="1208"/>
      <c r="B61" s="2039" t="str">
        <f>IF(B53="", "", B53)</f>
        <v>LifeSTEPS</v>
      </c>
      <c r="C61" s="2040"/>
      <c r="D61" s="2040"/>
      <c r="E61" s="2040"/>
      <c r="F61" s="2040"/>
      <c r="G61" s="2040"/>
      <c r="H61" s="2040"/>
      <c r="I61" s="2041"/>
      <c r="J61" s="2042" t="s">
        <v>2768</v>
      </c>
      <c r="K61" s="2043"/>
      <c r="L61" s="2043"/>
      <c r="M61" s="2043"/>
      <c r="N61" s="2043"/>
      <c r="O61" s="2043"/>
      <c r="P61" s="2043"/>
      <c r="Q61" s="2043"/>
      <c r="R61" s="2043"/>
      <c r="S61" s="2043"/>
      <c r="T61" s="2043"/>
      <c r="U61" s="2043"/>
      <c r="V61" s="2043"/>
      <c r="W61" s="2043"/>
      <c r="X61" s="2043"/>
      <c r="Y61" s="2043"/>
      <c r="Z61" s="2043"/>
      <c r="AA61" s="2043"/>
      <c r="AB61" s="2043"/>
      <c r="AC61" s="2043"/>
      <c r="AD61" s="2043"/>
      <c r="AE61" s="2043"/>
      <c r="AF61" s="2043"/>
      <c r="AG61" s="2043"/>
      <c r="AH61" s="2043"/>
      <c r="AI61" s="2043"/>
      <c r="AJ61" s="2043"/>
      <c r="AK61" s="2043"/>
      <c r="AL61" s="2043"/>
      <c r="AM61" s="2043"/>
      <c r="AN61" s="2043"/>
      <c r="AO61" s="2043"/>
      <c r="AP61" s="2043"/>
      <c r="AQ61" s="2043"/>
      <c r="AR61" s="2043"/>
      <c r="AS61" s="2043"/>
      <c r="AT61" s="2043"/>
      <c r="AU61" s="2043"/>
      <c r="AV61" s="2043"/>
      <c r="AW61" s="2044"/>
      <c r="AX61" s="1208"/>
      <c r="AY61" s="1208"/>
      <c r="AZ61" s="1208"/>
      <c r="BA61" s="1208"/>
      <c r="BB61" s="1208"/>
      <c r="BC61" s="1208"/>
      <c r="BD61" s="1208"/>
      <c r="BE61" s="1215"/>
    </row>
    <row r="62" spans="1:77" ht="15.75" customHeight="1">
      <c r="A62" s="1208"/>
      <c r="B62" s="2039" t="str">
        <f>IF(B54="", "", B54)</f>
        <v/>
      </c>
      <c r="C62" s="2040"/>
      <c r="D62" s="2040"/>
      <c r="E62" s="2040"/>
      <c r="F62" s="2040"/>
      <c r="G62" s="2040"/>
      <c r="H62" s="2040"/>
      <c r="I62" s="2041"/>
      <c r="J62" s="1266"/>
      <c r="K62" s="1266"/>
      <c r="L62" s="1266"/>
      <c r="M62" s="1266"/>
      <c r="N62" s="1266"/>
      <c r="O62" s="1266"/>
      <c r="P62" s="1266"/>
      <c r="Q62" s="1266"/>
      <c r="R62" s="1266"/>
      <c r="S62" s="1266"/>
      <c r="T62" s="1266"/>
      <c r="U62" s="1266"/>
      <c r="V62" s="1266"/>
      <c r="W62" s="1266"/>
      <c r="X62" s="1266"/>
      <c r="Y62" s="1266"/>
      <c r="Z62" s="1266"/>
      <c r="AA62" s="1266"/>
      <c r="AB62" s="1266"/>
      <c r="AC62" s="1266"/>
      <c r="AD62" s="1266"/>
      <c r="AE62" s="1266"/>
      <c r="AF62" s="1266"/>
      <c r="AG62" s="1266"/>
      <c r="AH62" s="1266"/>
      <c r="AI62" s="1266"/>
      <c r="AJ62" s="1266"/>
      <c r="AK62" s="1266"/>
      <c r="AL62" s="1266"/>
      <c r="AM62" s="1266"/>
      <c r="AN62" s="1266"/>
      <c r="AO62" s="1266"/>
      <c r="AP62" s="1266"/>
      <c r="AQ62" s="1266"/>
      <c r="AR62" s="1266"/>
      <c r="AS62" s="1266"/>
      <c r="AT62" s="1266"/>
      <c r="AU62" s="1266"/>
      <c r="AV62" s="1266"/>
      <c r="AW62" s="1266"/>
      <c r="AX62" s="1208"/>
      <c r="AY62" s="1208"/>
      <c r="AZ62" s="1208"/>
      <c r="BA62" s="1208"/>
      <c r="BB62" s="1208"/>
      <c r="BC62" s="1208"/>
      <c r="BD62" s="1208"/>
      <c r="BE62" s="1215"/>
    </row>
    <row r="63" spans="1:77" ht="15.75" customHeight="1">
      <c r="A63" s="1208"/>
      <c r="B63" s="2039" t="str">
        <f>IF(B55="", "", B55)</f>
        <v/>
      </c>
      <c r="C63" s="2040"/>
      <c r="D63" s="2040"/>
      <c r="E63" s="2040"/>
      <c r="F63" s="2040"/>
      <c r="G63" s="2040"/>
      <c r="H63" s="2040"/>
      <c r="I63" s="2041"/>
      <c r="J63" s="2042"/>
      <c r="K63" s="2043"/>
      <c r="L63" s="2043"/>
      <c r="M63" s="2043"/>
      <c r="N63" s="2043"/>
      <c r="O63" s="2043"/>
      <c r="P63" s="2043"/>
      <c r="Q63" s="2043"/>
      <c r="R63" s="2043"/>
      <c r="S63" s="2043"/>
      <c r="T63" s="2043"/>
      <c r="U63" s="2043"/>
      <c r="V63" s="2043"/>
      <c r="W63" s="2043"/>
      <c r="X63" s="2043"/>
      <c r="Y63" s="2043"/>
      <c r="Z63" s="2043"/>
      <c r="AA63" s="2043"/>
      <c r="AB63" s="2043"/>
      <c r="AC63" s="2043"/>
      <c r="AD63" s="2043"/>
      <c r="AE63" s="2043"/>
      <c r="AF63" s="2043"/>
      <c r="AG63" s="2043"/>
      <c r="AH63" s="2043"/>
      <c r="AI63" s="2043"/>
      <c r="AJ63" s="2043"/>
      <c r="AK63" s="2043"/>
      <c r="AL63" s="2043"/>
      <c r="AM63" s="2043"/>
      <c r="AN63" s="2043"/>
      <c r="AO63" s="2043"/>
      <c r="AP63" s="2043"/>
      <c r="AQ63" s="2043"/>
      <c r="AR63" s="2043"/>
      <c r="AS63" s="2043"/>
      <c r="AT63" s="2043"/>
      <c r="AU63" s="2043"/>
      <c r="AV63" s="2043"/>
      <c r="AW63" s="2044"/>
      <c r="AX63" s="1208"/>
      <c r="AY63" s="1208"/>
      <c r="AZ63" s="1208"/>
      <c r="BA63" s="1208"/>
      <c r="BB63" s="1208"/>
      <c r="BC63" s="1208"/>
      <c r="BD63" s="1208"/>
      <c r="BE63" s="1215"/>
    </row>
    <row r="64" spans="1:77" ht="15.75" customHeight="1" thickBot="1">
      <c r="A64" s="1208"/>
      <c r="B64" s="2059" t="str">
        <f>IF(B56="", "", B56)</f>
        <v/>
      </c>
      <c r="C64" s="2060"/>
      <c r="D64" s="2060"/>
      <c r="E64" s="2060"/>
      <c r="F64" s="2060"/>
      <c r="G64" s="2060"/>
      <c r="H64" s="2060"/>
      <c r="I64" s="2061"/>
      <c r="J64" s="2062"/>
      <c r="K64" s="2063"/>
      <c r="L64" s="2063"/>
      <c r="M64" s="2063"/>
      <c r="N64" s="2063"/>
      <c r="O64" s="2063"/>
      <c r="P64" s="2063"/>
      <c r="Q64" s="2063"/>
      <c r="R64" s="2063"/>
      <c r="S64" s="2063"/>
      <c r="T64" s="2063"/>
      <c r="U64" s="2063"/>
      <c r="V64" s="2063"/>
      <c r="W64" s="2063"/>
      <c r="X64" s="2063"/>
      <c r="Y64" s="2063"/>
      <c r="Z64" s="2063"/>
      <c r="AA64" s="2063"/>
      <c r="AB64" s="2063"/>
      <c r="AC64" s="2063"/>
      <c r="AD64" s="2063"/>
      <c r="AE64" s="2063"/>
      <c r="AF64" s="2063"/>
      <c r="AG64" s="2063"/>
      <c r="AH64" s="2063"/>
      <c r="AI64" s="2063"/>
      <c r="AJ64" s="2063"/>
      <c r="AK64" s="2063"/>
      <c r="AL64" s="2063"/>
      <c r="AM64" s="2063"/>
      <c r="AN64" s="2063"/>
      <c r="AO64" s="2063"/>
      <c r="AP64" s="2063"/>
      <c r="AQ64" s="2063"/>
      <c r="AR64" s="2063"/>
      <c r="AS64" s="2063"/>
      <c r="AT64" s="2063"/>
      <c r="AU64" s="2063"/>
      <c r="AV64" s="2063"/>
      <c r="AW64" s="2064"/>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2327</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9" t="s">
        <v>2326</v>
      </c>
      <c r="C68" s="1930"/>
      <c r="D68" s="1930"/>
      <c r="E68" s="1930"/>
      <c r="F68" s="1930"/>
      <c r="G68" s="1930"/>
      <c r="H68" s="1930"/>
      <c r="I68" s="1930"/>
      <c r="J68" s="1930"/>
      <c r="K68" s="1930"/>
      <c r="L68" s="1930"/>
      <c r="M68" s="1930"/>
      <c r="N68" s="1930"/>
      <c r="O68" s="1930"/>
      <c r="P68" s="1930"/>
      <c r="Q68" s="1930"/>
      <c r="R68" s="1930"/>
      <c r="S68" s="1930"/>
      <c r="T68" s="1930"/>
      <c r="U68" s="1930"/>
      <c r="V68" s="1930"/>
      <c r="W68" s="1930"/>
      <c r="X68" s="1930"/>
      <c r="Y68" s="1930"/>
      <c r="Z68" s="1930"/>
      <c r="AA68" s="1931"/>
      <c r="AB68" s="1208"/>
      <c r="AC68" s="2071" t="s">
        <v>2325</v>
      </c>
      <c r="AD68" s="2072"/>
      <c r="AE68" s="2072"/>
      <c r="AF68" s="2072"/>
      <c r="AG68" s="2072"/>
      <c r="AH68" s="2072"/>
      <c r="AI68" s="2072"/>
      <c r="AJ68" s="2072"/>
      <c r="AK68" s="2072"/>
      <c r="AL68" s="2072"/>
      <c r="AM68" s="2072"/>
      <c r="AN68" s="2072"/>
      <c r="AO68" s="2072"/>
      <c r="AP68" s="2072"/>
      <c r="AQ68" s="2072"/>
      <c r="AR68" s="2072"/>
      <c r="AS68" s="2072"/>
      <c r="AT68" s="2072"/>
      <c r="AU68" s="2072"/>
      <c r="AV68" s="2051" t="s">
        <v>668</v>
      </c>
      <c r="AW68" s="2052"/>
      <c r="AX68" s="2052"/>
      <c r="AY68" s="2052"/>
      <c r="AZ68" s="2052"/>
      <c r="BA68" s="2052"/>
      <c r="BB68" s="2052"/>
      <c r="BC68" s="2053"/>
      <c r="BD68" s="1208"/>
      <c r="BE68" s="1215"/>
      <c r="BM68" s="1221" t="s">
        <v>2324</v>
      </c>
    </row>
    <row r="69" spans="1:94" ht="15.75" customHeight="1" thickTop="1" thickBot="1">
      <c r="A69" s="1208"/>
      <c r="B69" s="2054" t="s">
        <v>2323</v>
      </c>
      <c r="C69" s="2055"/>
      <c r="D69" s="2055"/>
      <c r="E69" s="2055"/>
      <c r="F69" s="2055"/>
      <c r="G69" s="2055"/>
      <c r="H69" s="2055"/>
      <c r="I69" s="2055"/>
      <c r="J69" s="2055"/>
      <c r="K69" s="2055"/>
      <c r="L69" s="2055"/>
      <c r="M69" s="2055"/>
      <c r="N69" s="2055"/>
      <c r="O69" s="1902" t="s">
        <v>2322</v>
      </c>
      <c r="P69" s="1903"/>
      <c r="Q69" s="1903"/>
      <c r="R69" s="1903"/>
      <c r="S69" s="1903"/>
      <c r="T69" s="1903"/>
      <c r="U69" s="1903"/>
      <c r="V69" s="1903"/>
      <c r="W69" s="1903"/>
      <c r="X69" s="1903"/>
      <c r="Y69" s="1903"/>
      <c r="Z69" s="1903"/>
      <c r="AA69" s="2056"/>
      <c r="AB69" s="1208"/>
      <c r="AC69" s="2057" t="s">
        <v>2321</v>
      </c>
      <c r="AD69" s="2058"/>
      <c r="AE69" s="2058"/>
      <c r="AF69" s="2058"/>
      <c r="AG69" s="2058"/>
      <c r="AH69" s="2058"/>
      <c r="AI69" s="2058"/>
      <c r="AJ69" s="2058"/>
      <c r="AK69" s="2058"/>
      <c r="AL69" s="2058"/>
      <c r="AM69" s="2058"/>
      <c r="AN69" s="2058"/>
      <c r="AO69" s="2058"/>
      <c r="AP69" s="2058"/>
      <c r="AQ69" s="2058"/>
      <c r="AR69" s="2058"/>
      <c r="AS69" s="2058"/>
      <c r="AT69" s="2058"/>
      <c r="AU69" s="2058"/>
      <c r="AV69" s="2051" t="s">
        <v>668</v>
      </c>
      <c r="AW69" s="2052"/>
      <c r="AX69" s="2052"/>
      <c r="AY69" s="2052"/>
      <c r="AZ69" s="2052"/>
      <c r="BA69" s="2052"/>
      <c r="BB69" s="2052"/>
      <c r="BC69" s="2053"/>
      <c r="BD69" s="1208"/>
      <c r="BE69" s="1215"/>
      <c r="BM69" s="1222" t="s">
        <v>544</v>
      </c>
    </row>
    <row r="70" spans="1:94" ht="15.75" customHeight="1">
      <c r="A70" s="1208"/>
      <c r="B70" s="2008" t="s">
        <v>2320</v>
      </c>
      <c r="C70" s="2009"/>
      <c r="D70" s="2009"/>
      <c r="E70" s="2009"/>
      <c r="F70" s="2009"/>
      <c r="G70" s="2009"/>
      <c r="H70" s="2009"/>
      <c r="I70" s="2009"/>
      <c r="J70" s="2009"/>
      <c r="K70" s="2009"/>
      <c r="L70" s="2009"/>
      <c r="M70" s="2009"/>
      <c r="N70" s="2009"/>
      <c r="O70" s="2065">
        <v>20000</v>
      </c>
      <c r="P70" s="2065"/>
      <c r="Q70" s="2065"/>
      <c r="R70" s="2065"/>
      <c r="S70" s="2065"/>
      <c r="T70" s="2065"/>
      <c r="U70" s="2065"/>
      <c r="V70" s="2065"/>
      <c r="W70" s="2065"/>
      <c r="X70" s="2065"/>
      <c r="Y70" s="2065"/>
      <c r="Z70" s="2065"/>
      <c r="AA70" s="2066"/>
      <c r="AB70" s="1208"/>
      <c r="AC70" s="2024" t="s">
        <v>2319</v>
      </c>
      <c r="AD70" s="2025"/>
      <c r="AE70" s="2025"/>
      <c r="AF70" s="2067" t="s">
        <v>2662</v>
      </c>
      <c r="AG70" s="2067"/>
      <c r="AH70" s="2067"/>
      <c r="AI70" s="2067"/>
      <c r="AJ70" s="2067"/>
      <c r="AK70" s="2067"/>
      <c r="AL70" s="2067"/>
      <c r="AM70" s="2067"/>
      <c r="AN70" s="2067"/>
      <c r="AO70" s="2067"/>
      <c r="AP70" s="2067"/>
      <c r="AQ70" s="2067"/>
      <c r="AR70" s="2067"/>
      <c r="AS70" s="2067"/>
      <c r="AT70" s="2067"/>
      <c r="AU70" s="2068"/>
      <c r="AV70" s="1208"/>
      <c r="AW70" s="1208"/>
      <c r="AX70" s="1208"/>
      <c r="AY70" s="1208"/>
      <c r="AZ70" s="1208"/>
      <c r="BA70" s="1208"/>
      <c r="BB70" s="1208"/>
      <c r="BC70" s="1208"/>
      <c r="BD70" s="1208"/>
      <c r="BE70" s="1215"/>
      <c r="BM70" s="1223" t="s">
        <v>668</v>
      </c>
    </row>
    <row r="71" spans="1:94" ht="15.75" customHeight="1" thickBot="1">
      <c r="A71" s="1208"/>
      <c r="B71" s="2008" t="s">
        <v>2318</v>
      </c>
      <c r="C71" s="2009"/>
      <c r="D71" s="2009"/>
      <c r="E71" s="2009"/>
      <c r="F71" s="2009"/>
      <c r="G71" s="2009"/>
      <c r="H71" s="2009"/>
      <c r="I71" s="2009"/>
      <c r="J71" s="2009"/>
      <c r="K71" s="2009"/>
      <c r="L71" s="2009"/>
      <c r="M71" s="2009"/>
      <c r="N71" s="2009"/>
      <c r="O71" s="2065">
        <v>0</v>
      </c>
      <c r="P71" s="2065"/>
      <c r="Q71" s="2065"/>
      <c r="R71" s="2065"/>
      <c r="S71" s="2065"/>
      <c r="T71" s="2065"/>
      <c r="U71" s="2065"/>
      <c r="V71" s="2065"/>
      <c r="W71" s="2065"/>
      <c r="X71" s="2065"/>
      <c r="Y71" s="2065"/>
      <c r="Z71" s="2065"/>
      <c r="AA71" s="2066"/>
      <c r="AB71" s="1208"/>
      <c r="AC71" s="2069" t="s">
        <v>2317</v>
      </c>
      <c r="AD71" s="2070"/>
      <c r="AE71" s="2070"/>
      <c r="AF71" s="2063" t="s">
        <v>2748</v>
      </c>
      <c r="AG71" s="2063"/>
      <c r="AH71" s="2063"/>
      <c r="AI71" s="2063"/>
      <c r="AJ71" s="2063"/>
      <c r="AK71" s="2063"/>
      <c r="AL71" s="2063"/>
      <c r="AM71" s="2063"/>
      <c r="AN71" s="2063"/>
      <c r="AO71" s="2063"/>
      <c r="AP71" s="2063"/>
      <c r="AQ71" s="2063"/>
      <c r="AR71" s="2063"/>
      <c r="AS71" s="2063"/>
      <c r="AT71" s="2063"/>
      <c r="AU71" s="2064"/>
      <c r="AV71" s="1208"/>
      <c r="AW71" s="1208"/>
      <c r="AX71" s="1208"/>
      <c r="AY71" s="1208"/>
      <c r="AZ71" s="1208"/>
      <c r="BA71" s="1208"/>
      <c r="BB71" s="1208"/>
      <c r="BC71" s="1208"/>
      <c r="BD71" s="1208"/>
      <c r="BE71" s="1215"/>
      <c r="BM71" s="1204" t="s">
        <v>2316</v>
      </c>
    </row>
    <row r="72" spans="1:94" ht="15.75" customHeight="1">
      <c r="A72" s="1208"/>
      <c r="B72" s="2008" t="s">
        <v>2315</v>
      </c>
      <c r="C72" s="2009"/>
      <c r="D72" s="2009"/>
      <c r="E72" s="2009"/>
      <c r="F72" s="2009"/>
      <c r="G72" s="2009"/>
      <c r="H72" s="2009"/>
      <c r="I72" s="2009"/>
      <c r="J72" s="2009"/>
      <c r="K72" s="2009"/>
      <c r="L72" s="2009"/>
      <c r="M72" s="2009"/>
      <c r="N72" s="2009"/>
      <c r="O72" s="2065">
        <v>0</v>
      </c>
      <c r="P72" s="2065"/>
      <c r="Q72" s="2065"/>
      <c r="R72" s="2065"/>
      <c r="S72" s="2065"/>
      <c r="T72" s="2065"/>
      <c r="U72" s="2065"/>
      <c r="V72" s="2065"/>
      <c r="W72" s="2065"/>
      <c r="X72" s="2065"/>
      <c r="Y72" s="2065"/>
      <c r="Z72" s="2065"/>
      <c r="AA72" s="2066"/>
      <c r="AB72" s="1208"/>
      <c r="AC72" s="2073" t="s">
        <v>2314</v>
      </c>
      <c r="AD72" s="2074"/>
      <c r="AE72" s="2074"/>
      <c r="AF72" s="2074"/>
      <c r="AG72" s="2074"/>
      <c r="AH72" s="2074"/>
      <c r="AI72" s="2074"/>
      <c r="AJ72" s="2074"/>
      <c r="AK72" s="2074"/>
      <c r="AL72" s="2074"/>
      <c r="AM72" s="2074"/>
      <c r="AN72" s="2074"/>
      <c r="AO72" s="2074"/>
      <c r="AP72" s="2074"/>
      <c r="AQ72" s="2074"/>
      <c r="AR72" s="2074"/>
      <c r="AS72" s="2074"/>
      <c r="AT72" s="2074"/>
      <c r="AU72" s="2074"/>
      <c r="AV72" s="2025"/>
      <c r="AW72" s="2025"/>
      <c r="AX72" s="2025"/>
      <c r="AY72" s="2025"/>
      <c r="AZ72" s="2025"/>
      <c r="BA72" s="2025"/>
      <c r="BB72" s="2025"/>
      <c r="BC72" s="2026"/>
      <c r="BD72" s="1208"/>
      <c r="BE72" s="1215"/>
    </row>
    <row r="73" spans="1:94" ht="15.75" customHeight="1">
      <c r="A73" s="1208"/>
      <c r="B73" s="2012" t="s">
        <v>2313</v>
      </c>
      <c r="C73" s="2013"/>
      <c r="D73" s="2013"/>
      <c r="E73" s="2013"/>
      <c r="F73" s="2013"/>
      <c r="G73" s="2013"/>
      <c r="H73" s="2013"/>
      <c r="I73" s="2013"/>
      <c r="J73" s="2013"/>
      <c r="K73" s="2013"/>
      <c r="L73" s="2013"/>
      <c r="M73" s="2013"/>
      <c r="N73" s="2013"/>
      <c r="O73" s="2065">
        <v>0</v>
      </c>
      <c r="P73" s="2065"/>
      <c r="Q73" s="2065"/>
      <c r="R73" s="2065"/>
      <c r="S73" s="2065"/>
      <c r="T73" s="2065"/>
      <c r="U73" s="2065"/>
      <c r="V73" s="2065"/>
      <c r="W73" s="2065"/>
      <c r="X73" s="2065"/>
      <c r="Y73" s="2065"/>
      <c r="Z73" s="2065"/>
      <c r="AA73" s="2066"/>
      <c r="AB73" s="1208"/>
      <c r="AC73" s="2075" t="s">
        <v>2749</v>
      </c>
      <c r="AD73" s="2076"/>
      <c r="AE73" s="2076"/>
      <c r="AF73" s="2076"/>
      <c r="AG73" s="2076"/>
      <c r="AH73" s="2076"/>
      <c r="AI73" s="2076"/>
      <c r="AJ73" s="2076"/>
      <c r="AK73" s="2076"/>
      <c r="AL73" s="2076"/>
      <c r="AM73" s="2076"/>
      <c r="AN73" s="2076"/>
      <c r="AO73" s="2076"/>
      <c r="AP73" s="2076"/>
      <c r="AQ73" s="2076"/>
      <c r="AR73" s="2076"/>
      <c r="AS73" s="2076"/>
      <c r="AT73" s="2076"/>
      <c r="AU73" s="2076"/>
      <c r="AV73" s="2076"/>
      <c r="AW73" s="2076"/>
      <c r="AX73" s="2076"/>
      <c r="AY73" s="2076"/>
      <c r="AZ73" s="2076"/>
      <c r="BA73" s="2076"/>
      <c r="BB73" s="2076"/>
      <c r="BC73" s="2077"/>
      <c r="BD73" s="1208"/>
      <c r="BE73" s="1215"/>
      <c r="CK73" s="1206"/>
      <c r="CL73" s="1206"/>
      <c r="CM73" s="1206"/>
      <c r="CN73" s="1206"/>
      <c r="CO73" s="1206"/>
      <c r="CP73" s="1206"/>
    </row>
    <row r="74" spans="1:94" ht="15.75" customHeight="1">
      <c r="A74" s="1208"/>
      <c r="B74" s="2081"/>
      <c r="C74" s="2031"/>
      <c r="D74" s="2031"/>
      <c r="E74" s="2031"/>
      <c r="F74" s="2031"/>
      <c r="G74" s="2031"/>
      <c r="H74" s="2031"/>
      <c r="I74" s="2031"/>
      <c r="J74" s="2031"/>
      <c r="K74" s="2031"/>
      <c r="L74" s="2031"/>
      <c r="M74" s="2031"/>
      <c r="N74" s="2031"/>
      <c r="O74" s="2065"/>
      <c r="P74" s="2065"/>
      <c r="Q74" s="2065"/>
      <c r="R74" s="2065"/>
      <c r="S74" s="2065"/>
      <c r="T74" s="2065"/>
      <c r="U74" s="2065"/>
      <c r="V74" s="2065"/>
      <c r="W74" s="2065"/>
      <c r="X74" s="2065"/>
      <c r="Y74" s="2065"/>
      <c r="Z74" s="2065"/>
      <c r="AA74" s="2066"/>
      <c r="AB74" s="1208"/>
      <c r="AC74" s="2075"/>
      <c r="AD74" s="2076"/>
      <c r="AE74" s="2076"/>
      <c r="AF74" s="2076"/>
      <c r="AG74" s="2076"/>
      <c r="AH74" s="2076"/>
      <c r="AI74" s="2076"/>
      <c r="AJ74" s="2076"/>
      <c r="AK74" s="2076"/>
      <c r="AL74" s="2076"/>
      <c r="AM74" s="2076"/>
      <c r="AN74" s="2076"/>
      <c r="AO74" s="2076"/>
      <c r="AP74" s="2076"/>
      <c r="AQ74" s="2076"/>
      <c r="AR74" s="2076"/>
      <c r="AS74" s="2076"/>
      <c r="AT74" s="2076"/>
      <c r="AU74" s="2076"/>
      <c r="AV74" s="2076"/>
      <c r="AW74" s="2076"/>
      <c r="AX74" s="2076"/>
      <c r="AY74" s="2076"/>
      <c r="AZ74" s="2076"/>
      <c r="BA74" s="2076"/>
      <c r="BB74" s="2076"/>
      <c r="BC74" s="2077"/>
      <c r="BD74" s="1208"/>
      <c r="BE74" s="1215"/>
      <c r="CK74" s="1206"/>
      <c r="CL74" s="1206"/>
      <c r="CM74" s="1206"/>
      <c r="CN74" s="1206"/>
      <c r="CO74" s="1206"/>
      <c r="CP74" s="1206"/>
    </row>
    <row r="75" spans="1:94" ht="15.75" customHeight="1" thickBot="1">
      <c r="A75" s="1208"/>
      <c r="B75" s="2082" t="s">
        <v>124</v>
      </c>
      <c r="C75" s="2083"/>
      <c r="D75" s="2083"/>
      <c r="E75" s="2083"/>
      <c r="F75" s="2083"/>
      <c r="G75" s="2083"/>
      <c r="H75" s="2083"/>
      <c r="I75" s="2083"/>
      <c r="J75" s="2083"/>
      <c r="K75" s="2083"/>
      <c r="L75" s="2083"/>
      <c r="M75" s="2083"/>
      <c r="N75" s="2083"/>
      <c r="O75" s="2084">
        <f>SUM(O70:AA74)</f>
        <v>20000</v>
      </c>
      <c r="P75" s="2084"/>
      <c r="Q75" s="2084"/>
      <c r="R75" s="2084"/>
      <c r="S75" s="2084"/>
      <c r="T75" s="2084"/>
      <c r="U75" s="2084"/>
      <c r="V75" s="2084"/>
      <c r="W75" s="2084"/>
      <c r="X75" s="2084"/>
      <c r="Y75" s="2084"/>
      <c r="Z75" s="2084"/>
      <c r="AA75" s="2085"/>
      <c r="AB75" s="1208"/>
      <c r="AC75" s="2075"/>
      <c r="AD75" s="2076"/>
      <c r="AE75" s="2076"/>
      <c r="AF75" s="2076"/>
      <c r="AG75" s="2076"/>
      <c r="AH75" s="2076"/>
      <c r="AI75" s="2076"/>
      <c r="AJ75" s="2076"/>
      <c r="AK75" s="2076"/>
      <c r="AL75" s="2076"/>
      <c r="AM75" s="2076"/>
      <c r="AN75" s="2076"/>
      <c r="AO75" s="2076"/>
      <c r="AP75" s="2076"/>
      <c r="AQ75" s="2076"/>
      <c r="AR75" s="2076"/>
      <c r="AS75" s="2076"/>
      <c r="AT75" s="2076"/>
      <c r="AU75" s="2076"/>
      <c r="AV75" s="2076"/>
      <c r="AW75" s="2076"/>
      <c r="AX75" s="2076"/>
      <c r="AY75" s="2076"/>
      <c r="AZ75" s="2076"/>
      <c r="BA75" s="2076"/>
      <c r="BB75" s="2076"/>
      <c r="BC75" s="2077"/>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75"/>
      <c r="AD76" s="2076"/>
      <c r="AE76" s="2076"/>
      <c r="AF76" s="2076"/>
      <c r="AG76" s="2076"/>
      <c r="AH76" s="2076"/>
      <c r="AI76" s="2076"/>
      <c r="AJ76" s="2076"/>
      <c r="AK76" s="2076"/>
      <c r="AL76" s="2076"/>
      <c r="AM76" s="2076"/>
      <c r="AN76" s="2076"/>
      <c r="AO76" s="2076"/>
      <c r="AP76" s="2076"/>
      <c r="AQ76" s="2076"/>
      <c r="AR76" s="2076"/>
      <c r="AS76" s="2076"/>
      <c r="AT76" s="2076"/>
      <c r="AU76" s="2076"/>
      <c r="AV76" s="2076"/>
      <c r="AW76" s="2076"/>
      <c r="AX76" s="2076"/>
      <c r="AY76" s="2076"/>
      <c r="AZ76" s="2076"/>
      <c r="BA76" s="2076"/>
      <c r="BB76" s="2076"/>
      <c r="BC76" s="2077"/>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78"/>
      <c r="AD77" s="2079"/>
      <c r="AE77" s="2079"/>
      <c r="AF77" s="2079"/>
      <c r="AG77" s="2079"/>
      <c r="AH77" s="2079"/>
      <c r="AI77" s="2079"/>
      <c r="AJ77" s="2079"/>
      <c r="AK77" s="2079"/>
      <c r="AL77" s="2079"/>
      <c r="AM77" s="2079"/>
      <c r="AN77" s="2079"/>
      <c r="AO77" s="2079"/>
      <c r="AP77" s="2079"/>
      <c r="AQ77" s="2079"/>
      <c r="AR77" s="2079"/>
      <c r="AS77" s="2079"/>
      <c r="AT77" s="2079"/>
      <c r="AU77" s="2079"/>
      <c r="AV77" s="2079"/>
      <c r="AW77" s="2079"/>
      <c r="AX77" s="2079"/>
      <c r="AY77" s="2079"/>
      <c r="AZ77" s="2079"/>
      <c r="BA77" s="2079"/>
      <c r="BB77" s="2079"/>
      <c r="BC77" s="2080"/>
      <c r="BD77" s="1208"/>
      <c r="BE77" s="1215"/>
      <c r="CK77" s="1206"/>
      <c r="CL77" s="1206"/>
      <c r="CM77" s="1206"/>
      <c r="CN77" s="1206"/>
      <c r="CO77" s="1206"/>
      <c r="CP77" s="1206"/>
    </row>
    <row r="78" spans="1:94" ht="15.75" customHeight="1" thickBot="1">
      <c r="A78" s="1208"/>
      <c r="B78" s="1224" t="s">
        <v>2312</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2223</v>
      </c>
      <c r="C79" s="1228"/>
      <c r="D79" s="1228"/>
      <c r="E79" s="1229"/>
      <c r="F79" s="2086" t="s">
        <v>2653</v>
      </c>
      <c r="G79" s="2087"/>
      <c r="H79" s="2087"/>
      <c r="I79" s="2087"/>
      <c r="J79" s="2087"/>
      <c r="K79" s="2087"/>
      <c r="L79" s="2087"/>
      <c r="M79" s="2087"/>
      <c r="N79" s="2087"/>
      <c r="O79" s="2087"/>
      <c r="P79" s="2087"/>
      <c r="Q79" s="2087"/>
      <c r="R79" s="2087"/>
      <c r="S79" s="2087"/>
      <c r="T79" s="208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9" t="s">
        <v>2311</v>
      </c>
      <c r="C81" s="2090"/>
      <c r="D81" s="2090"/>
      <c r="E81" s="2090"/>
      <c r="F81" s="2090"/>
      <c r="G81" s="2090"/>
      <c r="H81" s="2090"/>
      <c r="I81" s="2090"/>
      <c r="J81" s="2090"/>
      <c r="K81" s="2090"/>
      <c r="L81" s="2090"/>
      <c r="M81" s="2090"/>
      <c r="N81" s="2090"/>
      <c r="O81" s="2090"/>
      <c r="P81" s="2090"/>
      <c r="Q81" s="2090"/>
      <c r="R81" s="2090"/>
      <c r="S81" s="2090"/>
      <c r="T81" s="2090"/>
      <c r="U81" s="2090"/>
      <c r="V81" s="2090"/>
      <c r="W81" s="2090"/>
      <c r="X81" s="2090"/>
      <c r="Y81" s="2090"/>
      <c r="Z81" s="2090"/>
      <c r="AA81" s="2090"/>
      <c r="AB81" s="2090"/>
      <c r="AC81" s="2090"/>
      <c r="AD81" s="2090"/>
      <c r="AE81" s="2090"/>
      <c r="AF81" s="2090"/>
      <c r="AG81" s="2090"/>
      <c r="AH81" s="2091"/>
      <c r="AI81" s="1208"/>
      <c r="AJ81" s="2092" t="s">
        <v>2611</v>
      </c>
      <c r="AK81" s="2093"/>
      <c r="AL81" s="2093"/>
      <c r="AM81" s="2093"/>
      <c r="AN81" s="2093"/>
      <c r="AO81" s="2093"/>
      <c r="AP81" s="2093"/>
      <c r="AQ81" s="2093"/>
      <c r="AR81" s="2093"/>
      <c r="AS81" s="2093"/>
      <c r="AT81" s="2093"/>
      <c r="AU81" s="2093"/>
      <c r="AV81" s="2093"/>
      <c r="AW81" s="2093"/>
      <c r="AX81" s="2093"/>
      <c r="AY81" s="2096" t="s">
        <v>668</v>
      </c>
      <c r="AZ81" s="2096"/>
      <c r="BA81" s="2096"/>
      <c r="BB81" s="2097"/>
      <c r="BC81" s="1208"/>
      <c r="BD81" s="1208"/>
      <c r="BE81" s="1215"/>
      <c r="CK81" s="1206"/>
      <c r="CL81" s="1206"/>
      <c r="CM81" s="1206"/>
      <c r="CN81" s="1206"/>
      <c r="CO81" s="1206"/>
      <c r="CP81" s="1206"/>
    </row>
    <row r="82" spans="1:94" ht="15.75" customHeight="1">
      <c r="A82" s="1208"/>
      <c r="B82" s="2027"/>
      <c r="C82" s="2028"/>
      <c r="D82" s="2028"/>
      <c r="E82" s="2028"/>
      <c r="F82" s="2028"/>
      <c r="G82" s="2028"/>
      <c r="H82" s="2028"/>
      <c r="I82" s="2028" t="s">
        <v>2305</v>
      </c>
      <c r="J82" s="2028"/>
      <c r="K82" s="2028"/>
      <c r="L82" s="2028"/>
      <c r="M82" s="2028"/>
      <c r="N82" s="2028"/>
      <c r="O82" s="2028" t="s">
        <v>2284</v>
      </c>
      <c r="P82" s="2028"/>
      <c r="Q82" s="2028"/>
      <c r="R82" s="2028"/>
      <c r="S82" s="2028"/>
      <c r="T82" s="2028"/>
      <c r="U82" s="2028"/>
      <c r="V82" s="2100" t="s">
        <v>2283</v>
      </c>
      <c r="W82" s="2100"/>
      <c r="X82" s="2100"/>
      <c r="Y82" s="2100"/>
      <c r="Z82" s="2100"/>
      <c r="AA82" s="2100"/>
      <c r="AB82" s="2101" t="s">
        <v>2304</v>
      </c>
      <c r="AC82" s="2101"/>
      <c r="AD82" s="2101"/>
      <c r="AE82" s="2101"/>
      <c r="AF82" s="2101"/>
      <c r="AG82" s="2101"/>
      <c r="AH82" s="2102"/>
      <c r="AI82" s="1208"/>
      <c r="AJ82" s="2094"/>
      <c r="AK82" s="2095"/>
      <c r="AL82" s="2095"/>
      <c r="AM82" s="2095"/>
      <c r="AN82" s="2095"/>
      <c r="AO82" s="2095"/>
      <c r="AP82" s="2095"/>
      <c r="AQ82" s="2095"/>
      <c r="AR82" s="2095"/>
      <c r="AS82" s="2095"/>
      <c r="AT82" s="2095"/>
      <c r="AU82" s="2095"/>
      <c r="AV82" s="2095"/>
      <c r="AW82" s="2095"/>
      <c r="AX82" s="2095"/>
      <c r="AY82" s="2098"/>
      <c r="AZ82" s="2098"/>
      <c r="BA82" s="2098"/>
      <c r="BB82" s="2099"/>
      <c r="BC82" s="1208"/>
      <c r="BD82" s="1208"/>
      <c r="BE82" s="1215"/>
      <c r="CK82" s="1206"/>
      <c r="CL82" s="1206"/>
      <c r="CM82" s="1206"/>
      <c r="CN82" s="1206"/>
      <c r="CO82" s="1206"/>
      <c r="CP82" s="1206"/>
    </row>
    <row r="83" spans="1:94" ht="15.75" customHeight="1">
      <c r="A83" s="1208"/>
      <c r="B83" s="2027"/>
      <c r="C83" s="2028"/>
      <c r="D83" s="2028"/>
      <c r="E83" s="2028"/>
      <c r="F83" s="2028"/>
      <c r="G83" s="2028"/>
      <c r="H83" s="2028"/>
      <c r="I83" s="2028"/>
      <c r="J83" s="2028"/>
      <c r="K83" s="2028"/>
      <c r="L83" s="2028"/>
      <c r="M83" s="2028"/>
      <c r="N83" s="2028"/>
      <c r="O83" s="2028"/>
      <c r="P83" s="2028"/>
      <c r="Q83" s="2028"/>
      <c r="R83" s="2028"/>
      <c r="S83" s="2028"/>
      <c r="T83" s="2028"/>
      <c r="U83" s="2028"/>
      <c r="V83" s="2100"/>
      <c r="W83" s="2100"/>
      <c r="X83" s="2100"/>
      <c r="Y83" s="2100"/>
      <c r="Z83" s="2100"/>
      <c r="AA83" s="2100"/>
      <c r="AB83" s="2101"/>
      <c r="AC83" s="2101"/>
      <c r="AD83" s="2101"/>
      <c r="AE83" s="2101"/>
      <c r="AF83" s="2101"/>
      <c r="AG83" s="2101"/>
      <c r="AH83" s="2102"/>
      <c r="AI83" s="1208"/>
      <c r="AJ83" s="2094"/>
      <c r="AK83" s="2095"/>
      <c r="AL83" s="2095"/>
      <c r="AM83" s="2095"/>
      <c r="AN83" s="2095"/>
      <c r="AO83" s="2095"/>
      <c r="AP83" s="2095"/>
      <c r="AQ83" s="2095"/>
      <c r="AR83" s="2095"/>
      <c r="AS83" s="2095"/>
      <c r="AT83" s="2095"/>
      <c r="AU83" s="2095"/>
      <c r="AV83" s="2095"/>
      <c r="AW83" s="2095"/>
      <c r="AX83" s="2095"/>
      <c r="AY83" s="2098"/>
      <c r="AZ83" s="2098"/>
      <c r="BA83" s="2098"/>
      <c r="BB83" s="2099"/>
      <c r="BC83" s="1208"/>
      <c r="BD83" s="1208"/>
      <c r="BE83" s="1215"/>
      <c r="CK83" s="1206"/>
      <c r="CL83" s="1206"/>
      <c r="CM83" s="1206"/>
      <c r="CN83" s="1206"/>
      <c r="CO83" s="1206"/>
      <c r="CP83" s="1206"/>
    </row>
    <row r="84" spans="1:94" ht="15.75" customHeight="1">
      <c r="A84" s="1208"/>
      <c r="B84" s="2027" t="s">
        <v>2303</v>
      </c>
      <c r="C84" s="2028"/>
      <c r="D84" s="2028"/>
      <c r="E84" s="2028"/>
      <c r="F84" s="2028"/>
      <c r="G84" s="2028"/>
      <c r="H84" s="2028"/>
      <c r="I84" s="2106">
        <v>435</v>
      </c>
      <c r="J84" s="2106"/>
      <c r="K84" s="2106"/>
      <c r="L84" s="2106"/>
      <c r="M84" s="2106"/>
      <c r="N84" s="2106"/>
      <c r="O84" s="2106">
        <v>0</v>
      </c>
      <c r="P84" s="2106"/>
      <c r="Q84" s="2106"/>
      <c r="R84" s="2106"/>
      <c r="S84" s="2106"/>
      <c r="T84" s="2106"/>
      <c r="U84" s="2106"/>
      <c r="V84" s="2106">
        <v>35</v>
      </c>
      <c r="W84" s="2106"/>
      <c r="X84" s="2106"/>
      <c r="Y84" s="2106"/>
      <c r="Z84" s="2106"/>
      <c r="AA84" s="2106"/>
      <c r="AB84" s="2106">
        <v>0</v>
      </c>
      <c r="AC84" s="2106"/>
      <c r="AD84" s="2106"/>
      <c r="AE84" s="2106"/>
      <c r="AF84" s="2106"/>
      <c r="AG84" s="2106"/>
      <c r="AH84" s="2107"/>
      <c r="AI84" s="1208"/>
      <c r="AJ84" s="2094"/>
      <c r="AK84" s="2095"/>
      <c r="AL84" s="2095"/>
      <c r="AM84" s="2095"/>
      <c r="AN84" s="2095"/>
      <c r="AO84" s="2095"/>
      <c r="AP84" s="2095"/>
      <c r="AQ84" s="2095"/>
      <c r="AR84" s="2095"/>
      <c r="AS84" s="2095"/>
      <c r="AT84" s="2095"/>
      <c r="AU84" s="2095"/>
      <c r="AV84" s="2095"/>
      <c r="AW84" s="2095"/>
      <c r="AX84" s="2095"/>
      <c r="AY84" s="2098"/>
      <c r="AZ84" s="2098"/>
      <c r="BA84" s="2098"/>
      <c r="BB84" s="2099"/>
      <c r="BC84" s="1208"/>
      <c r="BD84" s="1208"/>
      <c r="BE84" s="1215"/>
      <c r="CK84" s="1206"/>
      <c r="CL84" s="1206"/>
      <c r="CM84" s="1206"/>
      <c r="CN84" s="1206"/>
      <c r="CO84" s="1206"/>
      <c r="CP84" s="1206"/>
    </row>
    <row r="85" spans="1:94" ht="15.75" customHeight="1">
      <c r="A85" s="1208"/>
      <c r="B85" s="2027" t="s">
        <v>2302</v>
      </c>
      <c r="C85" s="2028"/>
      <c r="D85" s="2028"/>
      <c r="E85" s="2028"/>
      <c r="F85" s="2028"/>
      <c r="G85" s="2028"/>
      <c r="H85" s="2028"/>
      <c r="I85" s="2106">
        <v>26</v>
      </c>
      <c r="J85" s="2106"/>
      <c r="K85" s="2106"/>
      <c r="L85" s="2106"/>
      <c r="M85" s="2106"/>
      <c r="N85" s="2106"/>
      <c r="O85" s="2106">
        <v>0</v>
      </c>
      <c r="P85" s="2106"/>
      <c r="Q85" s="2106"/>
      <c r="R85" s="2106"/>
      <c r="S85" s="2106"/>
      <c r="T85" s="2106"/>
      <c r="U85" s="2106"/>
      <c r="V85" s="2106">
        <v>46</v>
      </c>
      <c r="W85" s="2106"/>
      <c r="X85" s="2106"/>
      <c r="Y85" s="2106"/>
      <c r="Z85" s="2106"/>
      <c r="AA85" s="2106"/>
      <c r="AB85" s="2106">
        <v>0</v>
      </c>
      <c r="AC85" s="2106"/>
      <c r="AD85" s="2106"/>
      <c r="AE85" s="2106"/>
      <c r="AF85" s="2106"/>
      <c r="AG85" s="2106"/>
      <c r="AH85" s="2107"/>
      <c r="AI85" s="1208"/>
      <c r="AJ85" s="2103" t="s">
        <v>2737</v>
      </c>
      <c r="AK85" s="2076"/>
      <c r="AL85" s="2076"/>
      <c r="AM85" s="2076"/>
      <c r="AN85" s="2076"/>
      <c r="AO85" s="2076"/>
      <c r="AP85" s="2076"/>
      <c r="AQ85" s="2076"/>
      <c r="AR85" s="2076"/>
      <c r="AS85" s="2076"/>
      <c r="AT85" s="2076"/>
      <c r="AU85" s="2076"/>
      <c r="AV85" s="2076"/>
      <c r="AW85" s="2076"/>
      <c r="AX85" s="2076"/>
      <c r="AY85" s="2076"/>
      <c r="AZ85" s="2076"/>
      <c r="BA85" s="2076"/>
      <c r="BB85" s="2077"/>
      <c r="BC85" s="1208"/>
      <c r="BD85" s="1208"/>
      <c r="BE85" s="1215"/>
      <c r="CK85" s="1206"/>
      <c r="CL85" s="1206"/>
      <c r="CM85" s="1206"/>
      <c r="CN85" s="1206"/>
      <c r="CO85" s="1206"/>
      <c r="CP85" s="1206"/>
    </row>
    <row r="86" spans="1:94" ht="15.75" customHeight="1" thickBot="1">
      <c r="A86" s="1208"/>
      <c r="B86" s="2045" t="s">
        <v>2301</v>
      </c>
      <c r="C86" s="2046"/>
      <c r="D86" s="2046"/>
      <c r="E86" s="2046"/>
      <c r="F86" s="2046"/>
      <c r="G86" s="2046"/>
      <c r="H86" s="2046"/>
      <c r="I86" s="2104">
        <v>461</v>
      </c>
      <c r="J86" s="2104"/>
      <c r="K86" s="2104"/>
      <c r="L86" s="2104"/>
      <c r="M86" s="2104"/>
      <c r="N86" s="2104"/>
      <c r="O86" s="2104">
        <v>0</v>
      </c>
      <c r="P86" s="2104"/>
      <c r="Q86" s="2104"/>
      <c r="R86" s="2104"/>
      <c r="S86" s="2104"/>
      <c r="T86" s="2104"/>
      <c r="U86" s="2104"/>
      <c r="V86" s="2104">
        <v>81</v>
      </c>
      <c r="W86" s="2104"/>
      <c r="X86" s="2104"/>
      <c r="Y86" s="2104"/>
      <c r="Z86" s="2104"/>
      <c r="AA86" s="2104"/>
      <c r="AB86" s="2104">
        <v>0</v>
      </c>
      <c r="AC86" s="2104"/>
      <c r="AD86" s="2104"/>
      <c r="AE86" s="2104"/>
      <c r="AF86" s="2104"/>
      <c r="AG86" s="2104"/>
      <c r="AH86" s="2105"/>
      <c r="AI86" s="1208"/>
      <c r="AJ86" s="2078"/>
      <c r="AK86" s="2079"/>
      <c r="AL86" s="2079"/>
      <c r="AM86" s="2079"/>
      <c r="AN86" s="2079"/>
      <c r="AO86" s="2079"/>
      <c r="AP86" s="2079"/>
      <c r="AQ86" s="2079"/>
      <c r="AR86" s="2079"/>
      <c r="AS86" s="2079"/>
      <c r="AT86" s="2079"/>
      <c r="AU86" s="2079"/>
      <c r="AV86" s="2079"/>
      <c r="AW86" s="2079"/>
      <c r="AX86" s="2079"/>
      <c r="AY86" s="2079"/>
      <c r="AZ86" s="2079"/>
      <c r="BA86" s="2079"/>
      <c r="BB86" s="2080"/>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2310</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2223</v>
      </c>
      <c r="C90" s="1234"/>
      <c r="D90" s="1235"/>
      <c r="E90" s="1236"/>
      <c r="F90" s="2108" t="s">
        <v>2701</v>
      </c>
      <c r="G90" s="2087"/>
      <c r="H90" s="2087"/>
      <c r="I90" s="2087"/>
      <c r="J90" s="2087"/>
      <c r="K90" s="2087"/>
      <c r="L90" s="2087"/>
      <c r="M90" s="2087"/>
      <c r="N90" s="2087"/>
      <c r="O90" s="2087"/>
      <c r="P90" s="2087"/>
      <c r="Q90" s="2087"/>
      <c r="R90" s="2087"/>
      <c r="S90" s="2087"/>
      <c r="T90" s="208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9" t="s">
        <v>2309</v>
      </c>
      <c r="C92" s="2090"/>
      <c r="D92" s="2090"/>
      <c r="E92" s="2090"/>
      <c r="F92" s="2090"/>
      <c r="G92" s="2090"/>
      <c r="H92" s="2090"/>
      <c r="I92" s="2090"/>
      <c r="J92" s="2090"/>
      <c r="K92" s="2090"/>
      <c r="L92" s="2090"/>
      <c r="M92" s="2090"/>
      <c r="N92" s="2090"/>
      <c r="O92" s="2090"/>
      <c r="P92" s="2090"/>
      <c r="Q92" s="2090"/>
      <c r="R92" s="2090"/>
      <c r="S92" s="2090"/>
      <c r="T92" s="2090"/>
      <c r="U92" s="2090"/>
      <c r="V92" s="2090"/>
      <c r="W92" s="2090"/>
      <c r="X92" s="2090"/>
      <c r="Y92" s="2090"/>
      <c r="Z92" s="2090"/>
      <c r="AA92" s="2090"/>
      <c r="AB92" s="2090"/>
      <c r="AC92" s="2090"/>
      <c r="AD92" s="2090"/>
      <c r="AE92" s="2090"/>
      <c r="AF92" s="2090"/>
      <c r="AG92" s="2090"/>
      <c r="AH92" s="2091"/>
      <c r="AI92" s="1208"/>
      <c r="AJ92" s="2092" t="s">
        <v>2612</v>
      </c>
      <c r="AK92" s="2093"/>
      <c r="AL92" s="2093"/>
      <c r="AM92" s="2093"/>
      <c r="AN92" s="2093"/>
      <c r="AO92" s="2093"/>
      <c r="AP92" s="2093"/>
      <c r="AQ92" s="2093"/>
      <c r="AR92" s="2093"/>
      <c r="AS92" s="2093"/>
      <c r="AT92" s="2093"/>
      <c r="AU92" s="2093"/>
      <c r="AV92" s="2093"/>
      <c r="AW92" s="2093"/>
      <c r="AX92" s="2093"/>
      <c r="AY92" s="2096" t="s">
        <v>544</v>
      </c>
      <c r="AZ92" s="2096"/>
      <c r="BA92" s="2096"/>
      <c r="BB92" s="2097"/>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27"/>
      <c r="C93" s="2028"/>
      <c r="D93" s="2028"/>
      <c r="E93" s="2028"/>
      <c r="F93" s="2028"/>
      <c r="G93" s="2028"/>
      <c r="H93" s="2028"/>
      <c r="I93" s="2028" t="s">
        <v>2305</v>
      </c>
      <c r="J93" s="2028"/>
      <c r="K93" s="2028"/>
      <c r="L93" s="2028"/>
      <c r="M93" s="2028"/>
      <c r="N93" s="2028"/>
      <c r="O93" s="2028" t="s">
        <v>2284</v>
      </c>
      <c r="P93" s="2028"/>
      <c r="Q93" s="2028"/>
      <c r="R93" s="2028"/>
      <c r="S93" s="2028"/>
      <c r="T93" s="2028"/>
      <c r="U93" s="2028"/>
      <c r="V93" s="2100" t="s">
        <v>2283</v>
      </c>
      <c r="W93" s="2100"/>
      <c r="X93" s="2100"/>
      <c r="Y93" s="2100"/>
      <c r="Z93" s="2100"/>
      <c r="AA93" s="2100"/>
      <c r="AB93" s="2101" t="s">
        <v>2304</v>
      </c>
      <c r="AC93" s="2101"/>
      <c r="AD93" s="2101"/>
      <c r="AE93" s="2101"/>
      <c r="AF93" s="2101"/>
      <c r="AG93" s="2101"/>
      <c r="AH93" s="2102"/>
      <c r="AI93" s="1208"/>
      <c r="AJ93" s="2094"/>
      <c r="AK93" s="2095"/>
      <c r="AL93" s="2095"/>
      <c r="AM93" s="2095"/>
      <c r="AN93" s="2095"/>
      <c r="AO93" s="2095"/>
      <c r="AP93" s="2095"/>
      <c r="AQ93" s="2095"/>
      <c r="AR93" s="2095"/>
      <c r="AS93" s="2095"/>
      <c r="AT93" s="2095"/>
      <c r="AU93" s="2095"/>
      <c r="AV93" s="2095"/>
      <c r="AW93" s="2095"/>
      <c r="AX93" s="2095"/>
      <c r="AY93" s="2098"/>
      <c r="AZ93" s="2098"/>
      <c r="BA93" s="2098"/>
      <c r="BB93" s="2099"/>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27"/>
      <c r="C94" s="2028"/>
      <c r="D94" s="2028"/>
      <c r="E94" s="2028"/>
      <c r="F94" s="2028"/>
      <c r="G94" s="2028"/>
      <c r="H94" s="2028"/>
      <c r="I94" s="2028"/>
      <c r="J94" s="2028"/>
      <c r="K94" s="2028"/>
      <c r="L94" s="2028"/>
      <c r="M94" s="2028"/>
      <c r="N94" s="2028"/>
      <c r="O94" s="2028"/>
      <c r="P94" s="2028"/>
      <c r="Q94" s="2028"/>
      <c r="R94" s="2028"/>
      <c r="S94" s="2028"/>
      <c r="T94" s="2028"/>
      <c r="U94" s="2028"/>
      <c r="V94" s="2100"/>
      <c r="W94" s="2100"/>
      <c r="X94" s="2100"/>
      <c r="Y94" s="2100"/>
      <c r="Z94" s="2100"/>
      <c r="AA94" s="2100"/>
      <c r="AB94" s="2101"/>
      <c r="AC94" s="2101"/>
      <c r="AD94" s="2101"/>
      <c r="AE94" s="2101"/>
      <c r="AF94" s="2101"/>
      <c r="AG94" s="2101"/>
      <c r="AH94" s="2102"/>
      <c r="AI94" s="1208"/>
      <c r="AJ94" s="2094"/>
      <c r="AK94" s="2095"/>
      <c r="AL94" s="2095"/>
      <c r="AM94" s="2095"/>
      <c r="AN94" s="2095"/>
      <c r="AO94" s="2095"/>
      <c r="AP94" s="2095"/>
      <c r="AQ94" s="2095"/>
      <c r="AR94" s="2095"/>
      <c r="AS94" s="2095"/>
      <c r="AT94" s="2095"/>
      <c r="AU94" s="2095"/>
      <c r="AV94" s="2095"/>
      <c r="AW94" s="2095"/>
      <c r="AX94" s="2095"/>
      <c r="AY94" s="2098"/>
      <c r="AZ94" s="2098"/>
      <c r="BA94" s="2098"/>
      <c r="BB94" s="2099"/>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27" t="s">
        <v>2303</v>
      </c>
      <c r="C95" s="2028"/>
      <c r="D95" s="2028"/>
      <c r="E95" s="2028"/>
      <c r="F95" s="2028"/>
      <c r="G95" s="2028"/>
      <c r="H95" s="2028"/>
      <c r="I95" s="2106">
        <v>3501</v>
      </c>
      <c r="J95" s="2106"/>
      <c r="K95" s="2106"/>
      <c r="L95" s="2106"/>
      <c r="M95" s="2106"/>
      <c r="N95" s="2106"/>
      <c r="O95" s="2106">
        <v>992</v>
      </c>
      <c r="P95" s="2106"/>
      <c r="Q95" s="2106"/>
      <c r="R95" s="2106"/>
      <c r="S95" s="2106"/>
      <c r="T95" s="2106"/>
      <c r="U95" s="2106"/>
      <c r="V95" s="2106">
        <v>2198</v>
      </c>
      <c r="W95" s="2106"/>
      <c r="X95" s="2106"/>
      <c r="Y95" s="2106"/>
      <c r="Z95" s="2106"/>
      <c r="AA95" s="2106"/>
      <c r="AB95" s="2106">
        <v>2698</v>
      </c>
      <c r="AC95" s="2106"/>
      <c r="AD95" s="2106"/>
      <c r="AE95" s="2106"/>
      <c r="AF95" s="2106"/>
      <c r="AG95" s="2106"/>
      <c r="AH95" s="2107"/>
      <c r="AI95" s="1208"/>
      <c r="AJ95" s="2094"/>
      <c r="AK95" s="2095"/>
      <c r="AL95" s="2095"/>
      <c r="AM95" s="2095"/>
      <c r="AN95" s="2095"/>
      <c r="AO95" s="2095"/>
      <c r="AP95" s="2095"/>
      <c r="AQ95" s="2095"/>
      <c r="AR95" s="2095"/>
      <c r="AS95" s="2095"/>
      <c r="AT95" s="2095"/>
      <c r="AU95" s="2095"/>
      <c r="AV95" s="2095"/>
      <c r="AW95" s="2095"/>
      <c r="AX95" s="2095"/>
      <c r="AY95" s="2098"/>
      <c r="AZ95" s="2098"/>
      <c r="BA95" s="2098"/>
      <c r="BB95" s="2099"/>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27" t="s">
        <v>2302</v>
      </c>
      <c r="C96" s="2028"/>
      <c r="D96" s="2028"/>
      <c r="E96" s="2028"/>
      <c r="F96" s="2028"/>
      <c r="G96" s="2028"/>
      <c r="H96" s="2028"/>
      <c r="I96" s="2106">
        <v>0</v>
      </c>
      <c r="J96" s="2106"/>
      <c r="K96" s="2106"/>
      <c r="L96" s="2106"/>
      <c r="M96" s="2106"/>
      <c r="N96" s="2106"/>
      <c r="O96" s="2106">
        <v>0</v>
      </c>
      <c r="P96" s="2106"/>
      <c r="Q96" s="2106"/>
      <c r="R96" s="2106"/>
      <c r="S96" s="2106"/>
      <c r="T96" s="2106"/>
      <c r="U96" s="2106"/>
      <c r="V96" s="2106">
        <v>0</v>
      </c>
      <c r="W96" s="2106"/>
      <c r="X96" s="2106"/>
      <c r="Y96" s="2106"/>
      <c r="Z96" s="2106"/>
      <c r="AA96" s="2106"/>
      <c r="AB96" s="2106">
        <v>0</v>
      </c>
      <c r="AC96" s="2106"/>
      <c r="AD96" s="2106"/>
      <c r="AE96" s="2106"/>
      <c r="AF96" s="2106"/>
      <c r="AG96" s="2106"/>
      <c r="AH96" s="2107"/>
      <c r="AI96" s="1208"/>
      <c r="AJ96" s="2075" t="s">
        <v>2308</v>
      </c>
      <c r="AK96" s="2076"/>
      <c r="AL96" s="2076"/>
      <c r="AM96" s="2076"/>
      <c r="AN96" s="2076"/>
      <c r="AO96" s="2076"/>
      <c r="AP96" s="2076"/>
      <c r="AQ96" s="2076"/>
      <c r="AR96" s="2076"/>
      <c r="AS96" s="2076"/>
      <c r="AT96" s="2076"/>
      <c r="AU96" s="2076"/>
      <c r="AV96" s="2076"/>
      <c r="AW96" s="2076"/>
      <c r="AX96" s="2076"/>
      <c r="AY96" s="2076"/>
      <c r="AZ96" s="2076"/>
      <c r="BA96" s="2076"/>
      <c r="BB96" s="2077"/>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45" t="s">
        <v>2301</v>
      </c>
      <c r="C97" s="2046"/>
      <c r="D97" s="2046"/>
      <c r="E97" s="2046"/>
      <c r="F97" s="2046"/>
      <c r="G97" s="2046"/>
      <c r="H97" s="2046"/>
      <c r="I97" s="2104">
        <v>3501</v>
      </c>
      <c r="J97" s="2104"/>
      <c r="K97" s="2104"/>
      <c r="L97" s="2104"/>
      <c r="M97" s="2104"/>
      <c r="N97" s="2104"/>
      <c r="O97" s="2104">
        <v>992</v>
      </c>
      <c r="P97" s="2104"/>
      <c r="Q97" s="2104"/>
      <c r="R97" s="2104"/>
      <c r="S97" s="2104"/>
      <c r="T97" s="2104"/>
      <c r="U97" s="2104"/>
      <c r="V97" s="2104">
        <v>2198</v>
      </c>
      <c r="W97" s="2104"/>
      <c r="X97" s="2104"/>
      <c r="Y97" s="2104"/>
      <c r="Z97" s="2104"/>
      <c r="AA97" s="2104"/>
      <c r="AB97" s="2104">
        <v>2698</v>
      </c>
      <c r="AC97" s="2104"/>
      <c r="AD97" s="2104"/>
      <c r="AE97" s="2104"/>
      <c r="AF97" s="2104"/>
      <c r="AG97" s="2104"/>
      <c r="AH97" s="2105"/>
      <c r="AI97" s="1208"/>
      <c r="AJ97" s="2078"/>
      <c r="AK97" s="2079"/>
      <c r="AL97" s="2079"/>
      <c r="AM97" s="2079"/>
      <c r="AN97" s="2079"/>
      <c r="AO97" s="2079"/>
      <c r="AP97" s="2079"/>
      <c r="AQ97" s="2079"/>
      <c r="AR97" s="2079"/>
      <c r="AS97" s="2079"/>
      <c r="AT97" s="2079"/>
      <c r="AU97" s="2079"/>
      <c r="AV97" s="2079"/>
      <c r="AW97" s="2079"/>
      <c r="AX97" s="2079"/>
      <c r="AY97" s="2079"/>
      <c r="AZ97" s="2079"/>
      <c r="BA97" s="2079"/>
      <c r="BB97" s="2080"/>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2307</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2223</v>
      </c>
      <c r="C100" s="1234"/>
      <c r="D100" s="1241"/>
      <c r="E100" s="1242"/>
      <c r="F100" s="2109" t="s">
        <v>2748</v>
      </c>
      <c r="G100" s="2110"/>
      <c r="H100" s="2110"/>
      <c r="I100" s="2110"/>
      <c r="J100" s="2110"/>
      <c r="K100" s="2110"/>
      <c r="L100" s="2110"/>
      <c r="M100" s="2110"/>
      <c r="N100" s="2110"/>
      <c r="O100" s="2110"/>
      <c r="P100" s="2110"/>
      <c r="Q100" s="2110"/>
      <c r="R100" s="2111"/>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71" t="s">
        <v>2306</v>
      </c>
      <c r="C102" s="2072"/>
      <c r="D102" s="2072"/>
      <c r="E102" s="2072"/>
      <c r="F102" s="2072"/>
      <c r="G102" s="2072"/>
      <c r="H102" s="2072"/>
      <c r="I102" s="2072"/>
      <c r="J102" s="2072"/>
      <c r="K102" s="2072"/>
      <c r="L102" s="2072"/>
      <c r="M102" s="2072"/>
      <c r="N102" s="2072"/>
      <c r="O102" s="2072"/>
      <c r="P102" s="2072"/>
      <c r="Q102" s="2072"/>
      <c r="R102" s="2072"/>
      <c r="S102" s="2072"/>
      <c r="T102" s="2072"/>
      <c r="U102" s="2072"/>
      <c r="V102" s="2072"/>
      <c r="W102" s="2072"/>
      <c r="X102" s="2072"/>
      <c r="Y102" s="2072"/>
      <c r="Z102" s="2072"/>
      <c r="AA102" s="2072"/>
      <c r="AB102" s="2072"/>
      <c r="AC102" s="2072"/>
      <c r="AD102" s="2072"/>
      <c r="AE102" s="2072"/>
      <c r="AF102" s="2072"/>
      <c r="AG102" s="2072"/>
      <c r="AH102" s="2112"/>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27"/>
      <c r="C103" s="2028"/>
      <c r="D103" s="2028"/>
      <c r="E103" s="2028"/>
      <c r="F103" s="2028"/>
      <c r="G103" s="2028"/>
      <c r="H103" s="2028"/>
      <c r="I103" s="2028" t="s">
        <v>2305</v>
      </c>
      <c r="J103" s="2028"/>
      <c r="K103" s="2028"/>
      <c r="L103" s="2028"/>
      <c r="M103" s="2028"/>
      <c r="N103" s="2028"/>
      <c r="O103" s="2028" t="s">
        <v>2284</v>
      </c>
      <c r="P103" s="2028"/>
      <c r="Q103" s="2028"/>
      <c r="R103" s="2028"/>
      <c r="S103" s="2028"/>
      <c r="T103" s="2028"/>
      <c r="U103" s="2028"/>
      <c r="V103" s="2100" t="s">
        <v>2283</v>
      </c>
      <c r="W103" s="2100"/>
      <c r="X103" s="2100"/>
      <c r="Y103" s="2100"/>
      <c r="Z103" s="2100"/>
      <c r="AA103" s="2100"/>
      <c r="AB103" s="2101" t="s">
        <v>2304</v>
      </c>
      <c r="AC103" s="2101"/>
      <c r="AD103" s="2101"/>
      <c r="AE103" s="2101"/>
      <c r="AF103" s="2101"/>
      <c r="AG103" s="2101"/>
      <c r="AH103" s="2102"/>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27"/>
      <c r="C104" s="2028"/>
      <c r="D104" s="2028"/>
      <c r="E104" s="2028"/>
      <c r="F104" s="2028"/>
      <c r="G104" s="2028"/>
      <c r="H104" s="2028"/>
      <c r="I104" s="2028"/>
      <c r="J104" s="2028"/>
      <c r="K104" s="2028"/>
      <c r="L104" s="2028"/>
      <c r="M104" s="2028"/>
      <c r="N104" s="2028"/>
      <c r="O104" s="2028"/>
      <c r="P104" s="2028"/>
      <c r="Q104" s="2028"/>
      <c r="R104" s="2028"/>
      <c r="S104" s="2028"/>
      <c r="T104" s="2028"/>
      <c r="U104" s="2028"/>
      <c r="V104" s="2100"/>
      <c r="W104" s="2100"/>
      <c r="X104" s="2100"/>
      <c r="Y104" s="2100"/>
      <c r="Z104" s="2100"/>
      <c r="AA104" s="2100"/>
      <c r="AB104" s="2101"/>
      <c r="AC104" s="2101"/>
      <c r="AD104" s="2101"/>
      <c r="AE104" s="2101"/>
      <c r="AF104" s="2101"/>
      <c r="AG104" s="2101"/>
      <c r="AH104" s="2102"/>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27" t="s">
        <v>2303</v>
      </c>
      <c r="C105" s="2028"/>
      <c r="D105" s="2028"/>
      <c r="E105" s="2028"/>
      <c r="F105" s="2028"/>
      <c r="G105" s="2028"/>
      <c r="H105" s="2028"/>
      <c r="I105" s="2106">
        <v>0</v>
      </c>
      <c r="J105" s="2106"/>
      <c r="K105" s="2106"/>
      <c r="L105" s="2106"/>
      <c r="M105" s="2106"/>
      <c r="N105" s="2106"/>
      <c r="O105" s="2106">
        <v>0</v>
      </c>
      <c r="P105" s="2106"/>
      <c r="Q105" s="2106"/>
      <c r="R105" s="2106"/>
      <c r="S105" s="2106"/>
      <c r="T105" s="2106"/>
      <c r="U105" s="2106"/>
      <c r="V105" s="2106">
        <v>0</v>
      </c>
      <c r="W105" s="2106"/>
      <c r="X105" s="2106"/>
      <c r="Y105" s="2106"/>
      <c r="Z105" s="2106"/>
      <c r="AA105" s="2106"/>
      <c r="AB105" s="2106">
        <v>0</v>
      </c>
      <c r="AC105" s="2106"/>
      <c r="AD105" s="2106"/>
      <c r="AE105" s="2106"/>
      <c r="AF105" s="2106"/>
      <c r="AG105" s="2106"/>
      <c r="AH105" s="2107"/>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27" t="s">
        <v>2302</v>
      </c>
      <c r="C106" s="2028"/>
      <c r="D106" s="2028"/>
      <c r="E106" s="2028"/>
      <c r="F106" s="2028"/>
      <c r="G106" s="2028"/>
      <c r="H106" s="2028"/>
      <c r="I106" s="2106">
        <v>0</v>
      </c>
      <c r="J106" s="2106"/>
      <c r="K106" s="2106"/>
      <c r="L106" s="2106"/>
      <c r="M106" s="2106"/>
      <c r="N106" s="2106"/>
      <c r="O106" s="2106">
        <v>0</v>
      </c>
      <c r="P106" s="2106"/>
      <c r="Q106" s="2106"/>
      <c r="R106" s="2106"/>
      <c r="S106" s="2106"/>
      <c r="T106" s="2106"/>
      <c r="U106" s="2106"/>
      <c r="V106" s="2106">
        <v>0</v>
      </c>
      <c r="W106" s="2106"/>
      <c r="X106" s="2106"/>
      <c r="Y106" s="2106"/>
      <c r="Z106" s="2106"/>
      <c r="AA106" s="2106"/>
      <c r="AB106" s="2106">
        <v>0</v>
      </c>
      <c r="AC106" s="2106"/>
      <c r="AD106" s="2106"/>
      <c r="AE106" s="2106"/>
      <c r="AF106" s="2106"/>
      <c r="AG106" s="2106"/>
      <c r="AH106" s="2107"/>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45" t="s">
        <v>2301</v>
      </c>
      <c r="C107" s="2046"/>
      <c r="D107" s="2046"/>
      <c r="E107" s="2046"/>
      <c r="F107" s="2046"/>
      <c r="G107" s="2046"/>
      <c r="H107" s="2046"/>
      <c r="I107" s="2104">
        <v>0</v>
      </c>
      <c r="J107" s="2104"/>
      <c r="K107" s="2104"/>
      <c r="L107" s="2104"/>
      <c r="M107" s="2104"/>
      <c r="N107" s="2104"/>
      <c r="O107" s="2104">
        <v>0</v>
      </c>
      <c r="P107" s="2104"/>
      <c r="Q107" s="2104"/>
      <c r="R107" s="2104"/>
      <c r="S107" s="2104"/>
      <c r="T107" s="2104"/>
      <c r="U107" s="2104"/>
      <c r="V107" s="2104">
        <v>0</v>
      </c>
      <c r="W107" s="2104"/>
      <c r="X107" s="2104"/>
      <c r="Y107" s="2104"/>
      <c r="Z107" s="2104"/>
      <c r="AA107" s="2104"/>
      <c r="AB107" s="2104">
        <v>0</v>
      </c>
      <c r="AC107" s="2104"/>
      <c r="AD107" s="2104"/>
      <c r="AE107" s="2104"/>
      <c r="AF107" s="2104"/>
      <c r="AG107" s="2104"/>
      <c r="AH107" s="210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2300</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2223</v>
      </c>
      <c r="C110" s="1234"/>
      <c r="D110" s="1241"/>
      <c r="E110" s="1242"/>
      <c r="F110" s="2109"/>
      <c r="G110" s="2110"/>
      <c r="H110" s="2110"/>
      <c r="I110" s="2110"/>
      <c r="J110" s="2110"/>
      <c r="K110" s="2110"/>
      <c r="L110" s="2110"/>
      <c r="M110" s="2110"/>
      <c r="N110" s="2110"/>
      <c r="O110" s="2110"/>
      <c r="P110" s="2110"/>
      <c r="Q110" s="2110"/>
      <c r="R110" s="2111"/>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13" t="s">
        <v>2613</v>
      </c>
      <c r="C112" s="2114"/>
      <c r="D112" s="2114"/>
      <c r="E112" s="2114"/>
      <c r="F112" s="2114"/>
      <c r="G112" s="2114"/>
      <c r="H112" s="2114"/>
      <c r="I112" s="2114"/>
      <c r="J112" s="2114"/>
      <c r="K112" s="2114"/>
      <c r="L112" s="2114"/>
      <c r="M112" s="2114"/>
      <c r="N112" s="2114"/>
      <c r="O112" s="2114"/>
      <c r="P112" s="2114"/>
      <c r="Q112" s="2114"/>
      <c r="R112" s="2114"/>
      <c r="S112" s="2114"/>
      <c r="T112" s="2114"/>
      <c r="U112" s="2117" t="s">
        <v>544</v>
      </c>
      <c r="V112" s="2117"/>
      <c r="W112" s="2117"/>
      <c r="X112" s="2118"/>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5"/>
      <c r="C113" s="2116"/>
      <c r="D113" s="2116"/>
      <c r="E113" s="2116"/>
      <c r="F113" s="2116"/>
      <c r="G113" s="2116"/>
      <c r="H113" s="2116"/>
      <c r="I113" s="2116"/>
      <c r="J113" s="2116"/>
      <c r="K113" s="2116"/>
      <c r="L113" s="2116"/>
      <c r="M113" s="2116"/>
      <c r="N113" s="2116"/>
      <c r="O113" s="2116"/>
      <c r="P113" s="2116"/>
      <c r="Q113" s="2116"/>
      <c r="R113" s="2116"/>
      <c r="S113" s="2116"/>
      <c r="T113" s="2116"/>
      <c r="U113" s="2119"/>
      <c r="V113" s="2119"/>
      <c r="W113" s="2119"/>
      <c r="X113" s="2120"/>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5"/>
      <c r="C114" s="2116"/>
      <c r="D114" s="2116"/>
      <c r="E114" s="2116"/>
      <c r="F114" s="2116"/>
      <c r="G114" s="2116"/>
      <c r="H114" s="2116"/>
      <c r="I114" s="2116"/>
      <c r="J114" s="2116"/>
      <c r="K114" s="2116"/>
      <c r="L114" s="2116"/>
      <c r="M114" s="2116"/>
      <c r="N114" s="2116"/>
      <c r="O114" s="2116"/>
      <c r="P114" s="2116"/>
      <c r="Q114" s="2116"/>
      <c r="R114" s="2116"/>
      <c r="S114" s="2116"/>
      <c r="T114" s="2116"/>
      <c r="U114" s="2119"/>
      <c r="V114" s="2119"/>
      <c r="W114" s="2119"/>
      <c r="X114" s="2120"/>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5"/>
      <c r="C115" s="2116"/>
      <c r="D115" s="2116"/>
      <c r="E115" s="2116"/>
      <c r="F115" s="2116"/>
      <c r="G115" s="2116"/>
      <c r="H115" s="2116"/>
      <c r="I115" s="2116"/>
      <c r="J115" s="2116"/>
      <c r="K115" s="2116"/>
      <c r="L115" s="2116"/>
      <c r="M115" s="2116"/>
      <c r="N115" s="2116"/>
      <c r="O115" s="2116"/>
      <c r="P115" s="2116"/>
      <c r="Q115" s="2116"/>
      <c r="R115" s="2116"/>
      <c r="S115" s="2116"/>
      <c r="T115" s="2116"/>
      <c r="U115" s="2119"/>
      <c r="V115" s="2119"/>
      <c r="W115" s="2119"/>
      <c r="X115" s="2120"/>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03" t="s">
        <v>2613</v>
      </c>
      <c r="C116" s="2121"/>
      <c r="D116" s="2121"/>
      <c r="E116" s="2121"/>
      <c r="F116" s="2121"/>
      <c r="G116" s="2121"/>
      <c r="H116" s="2121"/>
      <c r="I116" s="2121"/>
      <c r="J116" s="2121"/>
      <c r="K116" s="2121"/>
      <c r="L116" s="2121"/>
      <c r="M116" s="2121"/>
      <c r="N116" s="2121"/>
      <c r="O116" s="2121"/>
      <c r="P116" s="2121"/>
      <c r="Q116" s="2121"/>
      <c r="R116" s="2121"/>
      <c r="S116" s="2121"/>
      <c r="T116" s="2121"/>
      <c r="U116" s="2124" t="s">
        <v>544</v>
      </c>
      <c r="V116" s="2124"/>
      <c r="W116" s="2124"/>
      <c r="X116" s="2125"/>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22"/>
      <c r="C117" s="2123"/>
      <c r="D117" s="2123"/>
      <c r="E117" s="2123"/>
      <c r="F117" s="2123"/>
      <c r="G117" s="2123"/>
      <c r="H117" s="2123"/>
      <c r="I117" s="2123"/>
      <c r="J117" s="2123"/>
      <c r="K117" s="2123"/>
      <c r="L117" s="2123"/>
      <c r="M117" s="2123"/>
      <c r="N117" s="2123"/>
      <c r="O117" s="2123"/>
      <c r="P117" s="2123"/>
      <c r="Q117" s="2123"/>
      <c r="R117" s="2123"/>
      <c r="S117" s="2123"/>
      <c r="T117" s="2123"/>
      <c r="U117" s="2126"/>
      <c r="V117" s="2126"/>
      <c r="W117" s="2126"/>
      <c r="X117" s="2127"/>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2299</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92" t="s">
        <v>2298</v>
      </c>
      <c r="Y120" s="2093"/>
      <c r="Z120" s="2093"/>
      <c r="AA120" s="2093"/>
      <c r="AB120" s="2093"/>
      <c r="AC120" s="2093"/>
      <c r="AD120" s="2093"/>
      <c r="AE120" s="2093"/>
      <c r="AF120" s="2093"/>
      <c r="AG120" s="2093"/>
      <c r="AH120" s="2093"/>
      <c r="AI120" s="2093"/>
      <c r="AJ120" s="2093"/>
      <c r="AK120" s="2093"/>
      <c r="AL120" s="2093"/>
      <c r="AM120" s="2093"/>
      <c r="AN120" s="2093"/>
      <c r="AO120" s="2093"/>
      <c r="AP120" s="2093"/>
      <c r="AQ120" s="2093"/>
      <c r="AR120" s="2093"/>
      <c r="AS120" s="2093"/>
      <c r="AT120" s="2093"/>
      <c r="AU120" s="2093"/>
      <c r="AV120" s="2093"/>
      <c r="AW120" s="2093"/>
      <c r="AX120" s="2093"/>
      <c r="AY120" s="2093"/>
      <c r="AZ120" s="2093"/>
      <c r="BA120" s="2093"/>
      <c r="BB120" s="2093"/>
      <c r="BC120" s="2093"/>
      <c r="BD120" s="2134"/>
      <c r="BE120" s="1215"/>
    </row>
    <row r="121" spans="1:57" ht="15.75" customHeight="1">
      <c r="A121" s="1208"/>
      <c r="B121" s="2136" t="s">
        <v>1565</v>
      </c>
      <c r="C121" s="2137"/>
      <c r="D121" s="2137"/>
      <c r="E121" s="2137"/>
      <c r="F121" s="2137"/>
      <c r="G121" s="2137"/>
      <c r="H121" s="2137"/>
      <c r="I121" s="2137"/>
      <c r="J121" s="2137"/>
      <c r="K121" s="2137"/>
      <c r="L121" s="2137"/>
      <c r="M121" s="2137"/>
      <c r="N121" s="2137"/>
      <c r="O121" s="2137"/>
      <c r="P121" s="2137"/>
      <c r="Q121" s="2137"/>
      <c r="R121" s="2137"/>
      <c r="S121" s="2137"/>
      <c r="T121" s="2137"/>
      <c r="U121" s="2138"/>
      <c r="V121" s="1208"/>
      <c r="W121" s="1208"/>
      <c r="X121" s="2094"/>
      <c r="Y121" s="2095"/>
      <c r="Z121" s="2095"/>
      <c r="AA121" s="2095"/>
      <c r="AB121" s="2095"/>
      <c r="AC121" s="2095"/>
      <c r="AD121" s="2095"/>
      <c r="AE121" s="2095"/>
      <c r="AF121" s="2095"/>
      <c r="AG121" s="2095"/>
      <c r="AH121" s="2095"/>
      <c r="AI121" s="2095"/>
      <c r="AJ121" s="2095"/>
      <c r="AK121" s="2095"/>
      <c r="AL121" s="2095"/>
      <c r="AM121" s="2095"/>
      <c r="AN121" s="2095"/>
      <c r="AO121" s="2095"/>
      <c r="AP121" s="2095"/>
      <c r="AQ121" s="2095"/>
      <c r="AR121" s="2095"/>
      <c r="AS121" s="2095"/>
      <c r="AT121" s="2095"/>
      <c r="AU121" s="2095"/>
      <c r="AV121" s="2095"/>
      <c r="AW121" s="2095"/>
      <c r="AX121" s="2095"/>
      <c r="AY121" s="2095"/>
      <c r="AZ121" s="2095"/>
      <c r="BA121" s="2095"/>
      <c r="BB121" s="2095"/>
      <c r="BC121" s="2095"/>
      <c r="BD121" s="2135"/>
      <c r="BE121" s="1215"/>
    </row>
    <row r="122" spans="1:57" ht="15.75" customHeight="1">
      <c r="A122" s="1208"/>
      <c r="B122" s="2155"/>
      <c r="C122" s="2156"/>
      <c r="D122" s="2156"/>
      <c r="E122" s="2156"/>
      <c r="F122" s="2156"/>
      <c r="G122" s="2156"/>
      <c r="H122" s="2156"/>
      <c r="I122" s="2028" t="s">
        <v>2297</v>
      </c>
      <c r="J122" s="2028"/>
      <c r="K122" s="2028"/>
      <c r="L122" s="2028"/>
      <c r="M122" s="2028"/>
      <c r="N122" s="2028"/>
      <c r="O122" s="2159" t="s">
        <v>2296</v>
      </c>
      <c r="P122" s="2159"/>
      <c r="Q122" s="2159"/>
      <c r="R122" s="2159"/>
      <c r="S122" s="2159"/>
      <c r="T122" s="2159"/>
      <c r="U122" s="2160"/>
      <c r="V122" s="1208"/>
      <c r="W122" s="1208"/>
      <c r="X122" s="2075" t="s">
        <v>2702</v>
      </c>
      <c r="Y122" s="2076"/>
      <c r="Z122" s="2076"/>
      <c r="AA122" s="2076"/>
      <c r="AB122" s="2076"/>
      <c r="AC122" s="2076"/>
      <c r="AD122" s="2076"/>
      <c r="AE122" s="2076"/>
      <c r="AF122" s="2076"/>
      <c r="AG122" s="2076"/>
      <c r="AH122" s="2076"/>
      <c r="AI122" s="2076"/>
      <c r="AJ122" s="2076"/>
      <c r="AK122" s="2076"/>
      <c r="AL122" s="2076"/>
      <c r="AM122" s="2076"/>
      <c r="AN122" s="2076"/>
      <c r="AO122" s="2076"/>
      <c r="AP122" s="2076"/>
      <c r="AQ122" s="2076"/>
      <c r="AR122" s="2076"/>
      <c r="AS122" s="2076"/>
      <c r="AT122" s="2076"/>
      <c r="AU122" s="2076"/>
      <c r="AV122" s="2076"/>
      <c r="AW122" s="2076"/>
      <c r="AX122" s="2076"/>
      <c r="AY122" s="2076"/>
      <c r="AZ122" s="2076"/>
      <c r="BA122" s="2076"/>
      <c r="BB122" s="2076"/>
      <c r="BC122" s="2076"/>
      <c r="BD122" s="2077"/>
      <c r="BE122" s="1215"/>
    </row>
    <row r="123" spans="1:57" ht="15.75" customHeight="1">
      <c r="A123" s="1208"/>
      <c r="B123" s="2128" t="s">
        <v>2282</v>
      </c>
      <c r="C123" s="2129"/>
      <c r="D123" s="2129"/>
      <c r="E123" s="2129"/>
      <c r="F123" s="2129"/>
      <c r="G123" s="2129"/>
      <c r="H123" s="2129"/>
      <c r="I123" s="2106">
        <v>69</v>
      </c>
      <c r="J123" s="2106"/>
      <c r="K123" s="2106"/>
      <c r="L123" s="2106"/>
      <c r="M123" s="2106"/>
      <c r="N123" s="2106"/>
      <c r="O123" s="2106">
        <v>3</v>
      </c>
      <c r="P123" s="2106"/>
      <c r="Q123" s="2106"/>
      <c r="R123" s="2106"/>
      <c r="S123" s="2106"/>
      <c r="T123" s="2106"/>
      <c r="U123" s="2107"/>
      <c r="V123" s="1208"/>
      <c r="W123" s="1208"/>
      <c r="X123" s="2075"/>
      <c r="Y123" s="2076"/>
      <c r="Z123" s="2076"/>
      <c r="AA123" s="2076"/>
      <c r="AB123" s="2076"/>
      <c r="AC123" s="2076"/>
      <c r="AD123" s="2076"/>
      <c r="AE123" s="2076"/>
      <c r="AF123" s="2076"/>
      <c r="AG123" s="2076"/>
      <c r="AH123" s="2076"/>
      <c r="AI123" s="2076"/>
      <c r="AJ123" s="2076"/>
      <c r="AK123" s="2076"/>
      <c r="AL123" s="2076"/>
      <c r="AM123" s="2076"/>
      <c r="AN123" s="2076"/>
      <c r="AO123" s="2076"/>
      <c r="AP123" s="2076"/>
      <c r="AQ123" s="2076"/>
      <c r="AR123" s="2076"/>
      <c r="AS123" s="2076"/>
      <c r="AT123" s="2076"/>
      <c r="AU123" s="2076"/>
      <c r="AV123" s="2076"/>
      <c r="AW123" s="2076"/>
      <c r="AX123" s="2076"/>
      <c r="AY123" s="2076"/>
      <c r="AZ123" s="2076"/>
      <c r="BA123" s="2076"/>
      <c r="BB123" s="2076"/>
      <c r="BC123" s="2076"/>
      <c r="BD123" s="2077"/>
      <c r="BE123" s="1215"/>
    </row>
    <row r="124" spans="1:57" ht="15.75" customHeight="1" thickBot="1">
      <c r="A124" s="1208"/>
      <c r="B124" s="2130" t="s">
        <v>2281</v>
      </c>
      <c r="C124" s="2131"/>
      <c r="D124" s="2131"/>
      <c r="E124" s="2131"/>
      <c r="F124" s="2131"/>
      <c r="G124" s="2131"/>
      <c r="H124" s="2131"/>
      <c r="I124" s="2104">
        <v>13</v>
      </c>
      <c r="J124" s="2104"/>
      <c r="K124" s="2104"/>
      <c r="L124" s="2104"/>
      <c r="M124" s="2104"/>
      <c r="N124" s="2104"/>
      <c r="O124" s="2132"/>
      <c r="P124" s="2132"/>
      <c r="Q124" s="2132"/>
      <c r="R124" s="2132"/>
      <c r="S124" s="2132"/>
      <c r="T124" s="2132"/>
      <c r="U124" s="2133"/>
      <c r="V124" s="1208"/>
      <c r="W124" s="1208"/>
      <c r="X124" s="2075"/>
      <c r="Y124" s="2076"/>
      <c r="Z124" s="2076"/>
      <c r="AA124" s="2076"/>
      <c r="AB124" s="2076"/>
      <c r="AC124" s="2076"/>
      <c r="AD124" s="2076"/>
      <c r="AE124" s="2076"/>
      <c r="AF124" s="2076"/>
      <c r="AG124" s="2076"/>
      <c r="AH124" s="2076"/>
      <c r="AI124" s="2076"/>
      <c r="AJ124" s="2076"/>
      <c r="AK124" s="2076"/>
      <c r="AL124" s="2076"/>
      <c r="AM124" s="2076"/>
      <c r="AN124" s="2076"/>
      <c r="AO124" s="2076"/>
      <c r="AP124" s="2076"/>
      <c r="AQ124" s="2076"/>
      <c r="AR124" s="2076"/>
      <c r="AS124" s="2076"/>
      <c r="AT124" s="2076"/>
      <c r="AU124" s="2076"/>
      <c r="AV124" s="2076"/>
      <c r="AW124" s="2076"/>
      <c r="AX124" s="2076"/>
      <c r="AY124" s="2076"/>
      <c r="AZ124" s="2076"/>
      <c r="BA124" s="2076"/>
      <c r="BB124" s="2076"/>
      <c r="BC124" s="2076"/>
      <c r="BD124" s="2077"/>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75"/>
      <c r="Y125" s="2076"/>
      <c r="Z125" s="2076"/>
      <c r="AA125" s="2076"/>
      <c r="AB125" s="2076"/>
      <c r="AC125" s="2076"/>
      <c r="AD125" s="2076"/>
      <c r="AE125" s="2076"/>
      <c r="AF125" s="2076"/>
      <c r="AG125" s="2076"/>
      <c r="AH125" s="2076"/>
      <c r="AI125" s="2076"/>
      <c r="AJ125" s="2076"/>
      <c r="AK125" s="2076"/>
      <c r="AL125" s="2076"/>
      <c r="AM125" s="2076"/>
      <c r="AN125" s="2076"/>
      <c r="AO125" s="2076"/>
      <c r="AP125" s="2076"/>
      <c r="AQ125" s="2076"/>
      <c r="AR125" s="2076"/>
      <c r="AS125" s="2076"/>
      <c r="AT125" s="2076"/>
      <c r="AU125" s="2076"/>
      <c r="AV125" s="2076"/>
      <c r="AW125" s="2076"/>
      <c r="AX125" s="2076"/>
      <c r="AY125" s="2076"/>
      <c r="AZ125" s="2076"/>
      <c r="BA125" s="2076"/>
      <c r="BB125" s="2076"/>
      <c r="BC125" s="2076"/>
      <c r="BD125" s="2077"/>
      <c r="BE125" s="1215"/>
    </row>
    <row r="126" spans="1:57" ht="15.75" customHeight="1" thickBot="1">
      <c r="A126" s="1208"/>
      <c r="B126" s="1231" t="s">
        <v>2295</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75"/>
      <c r="Y126" s="2076"/>
      <c r="Z126" s="2076"/>
      <c r="AA126" s="2076"/>
      <c r="AB126" s="2076"/>
      <c r="AC126" s="2076"/>
      <c r="AD126" s="2076"/>
      <c r="AE126" s="2076"/>
      <c r="AF126" s="2076"/>
      <c r="AG126" s="2076"/>
      <c r="AH126" s="2076"/>
      <c r="AI126" s="2076"/>
      <c r="AJ126" s="2076"/>
      <c r="AK126" s="2076"/>
      <c r="AL126" s="2076"/>
      <c r="AM126" s="2076"/>
      <c r="AN126" s="2076"/>
      <c r="AO126" s="2076"/>
      <c r="AP126" s="2076"/>
      <c r="AQ126" s="2076"/>
      <c r="AR126" s="2076"/>
      <c r="AS126" s="2076"/>
      <c r="AT126" s="2076"/>
      <c r="AU126" s="2076"/>
      <c r="AV126" s="2076"/>
      <c r="AW126" s="2076"/>
      <c r="AX126" s="2076"/>
      <c r="AY126" s="2076"/>
      <c r="AZ126" s="2076"/>
      <c r="BA126" s="2076"/>
      <c r="BB126" s="2076"/>
      <c r="BC126" s="2076"/>
      <c r="BD126" s="2077"/>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75"/>
      <c r="Y127" s="2076"/>
      <c r="Z127" s="2076"/>
      <c r="AA127" s="2076"/>
      <c r="AB127" s="2076"/>
      <c r="AC127" s="2076"/>
      <c r="AD127" s="2076"/>
      <c r="AE127" s="2076"/>
      <c r="AF127" s="2076"/>
      <c r="AG127" s="2076"/>
      <c r="AH127" s="2076"/>
      <c r="AI127" s="2076"/>
      <c r="AJ127" s="2076"/>
      <c r="AK127" s="2076"/>
      <c r="AL127" s="2076"/>
      <c r="AM127" s="2076"/>
      <c r="AN127" s="2076"/>
      <c r="AO127" s="2076"/>
      <c r="AP127" s="2076"/>
      <c r="AQ127" s="2076"/>
      <c r="AR127" s="2076"/>
      <c r="AS127" s="2076"/>
      <c r="AT127" s="2076"/>
      <c r="AU127" s="2076"/>
      <c r="AV127" s="2076"/>
      <c r="AW127" s="2076"/>
      <c r="AX127" s="2076"/>
      <c r="AY127" s="2076"/>
      <c r="AZ127" s="2076"/>
      <c r="BA127" s="2076"/>
      <c r="BB127" s="2076"/>
      <c r="BC127" s="2076"/>
      <c r="BD127" s="2077"/>
      <c r="BE127" s="1215"/>
    </row>
    <row r="128" spans="1:57" ht="15.75" customHeight="1">
      <c r="A128" s="1208"/>
      <c r="B128" s="1929" t="s">
        <v>2294</v>
      </c>
      <c r="C128" s="1930"/>
      <c r="D128" s="1930"/>
      <c r="E128" s="1930"/>
      <c r="F128" s="1930"/>
      <c r="G128" s="1930"/>
      <c r="H128" s="1930"/>
      <c r="I128" s="1930"/>
      <c r="J128" s="1930"/>
      <c r="K128" s="1930"/>
      <c r="L128" s="1930"/>
      <c r="M128" s="1930"/>
      <c r="N128" s="1930"/>
      <c r="O128" s="1930"/>
      <c r="P128" s="1930"/>
      <c r="Q128" s="1930"/>
      <c r="R128" s="1930"/>
      <c r="S128" s="1930"/>
      <c r="T128" s="1930"/>
      <c r="U128" s="1931"/>
      <c r="V128" s="1208"/>
      <c r="W128" s="1208"/>
      <c r="X128" s="2075"/>
      <c r="Y128" s="2076"/>
      <c r="Z128" s="2076"/>
      <c r="AA128" s="2076"/>
      <c r="AB128" s="2076"/>
      <c r="AC128" s="2076"/>
      <c r="AD128" s="2076"/>
      <c r="AE128" s="2076"/>
      <c r="AF128" s="2076"/>
      <c r="AG128" s="2076"/>
      <c r="AH128" s="2076"/>
      <c r="AI128" s="2076"/>
      <c r="AJ128" s="2076"/>
      <c r="AK128" s="2076"/>
      <c r="AL128" s="2076"/>
      <c r="AM128" s="2076"/>
      <c r="AN128" s="2076"/>
      <c r="AO128" s="2076"/>
      <c r="AP128" s="2076"/>
      <c r="AQ128" s="2076"/>
      <c r="AR128" s="2076"/>
      <c r="AS128" s="2076"/>
      <c r="AT128" s="2076"/>
      <c r="AU128" s="2076"/>
      <c r="AV128" s="2076"/>
      <c r="AW128" s="2076"/>
      <c r="AX128" s="2076"/>
      <c r="AY128" s="2076"/>
      <c r="AZ128" s="2076"/>
      <c r="BA128" s="2076"/>
      <c r="BB128" s="2076"/>
      <c r="BC128" s="2076"/>
      <c r="BD128" s="2077"/>
      <c r="BE128" s="1215"/>
    </row>
    <row r="129" spans="1:57" ht="15.75" customHeight="1">
      <c r="A129" s="1208"/>
      <c r="B129" s="2155"/>
      <c r="C129" s="2156"/>
      <c r="D129" s="2156"/>
      <c r="E129" s="2156"/>
      <c r="F129" s="2156"/>
      <c r="G129" s="2156"/>
      <c r="H129" s="2156"/>
      <c r="I129" s="2157" t="s">
        <v>2284</v>
      </c>
      <c r="J129" s="2157"/>
      <c r="K129" s="2157"/>
      <c r="L129" s="2157"/>
      <c r="M129" s="2157"/>
      <c r="N129" s="2157"/>
      <c r="O129" s="2157"/>
      <c r="P129" s="2157" t="s">
        <v>2283</v>
      </c>
      <c r="Q129" s="2157"/>
      <c r="R129" s="2157"/>
      <c r="S129" s="2157"/>
      <c r="T129" s="2157"/>
      <c r="U129" s="2158"/>
      <c r="V129" s="1208"/>
      <c r="W129" s="1208"/>
      <c r="X129" s="2075"/>
      <c r="Y129" s="2076"/>
      <c r="Z129" s="2076"/>
      <c r="AA129" s="2076"/>
      <c r="AB129" s="2076"/>
      <c r="AC129" s="2076"/>
      <c r="AD129" s="2076"/>
      <c r="AE129" s="2076"/>
      <c r="AF129" s="2076"/>
      <c r="AG129" s="2076"/>
      <c r="AH129" s="2076"/>
      <c r="AI129" s="2076"/>
      <c r="AJ129" s="2076"/>
      <c r="AK129" s="2076"/>
      <c r="AL129" s="2076"/>
      <c r="AM129" s="2076"/>
      <c r="AN129" s="2076"/>
      <c r="AO129" s="2076"/>
      <c r="AP129" s="2076"/>
      <c r="AQ129" s="2076"/>
      <c r="AR129" s="2076"/>
      <c r="AS129" s="2076"/>
      <c r="AT129" s="2076"/>
      <c r="AU129" s="2076"/>
      <c r="AV129" s="2076"/>
      <c r="AW129" s="2076"/>
      <c r="AX129" s="2076"/>
      <c r="AY129" s="2076"/>
      <c r="AZ129" s="2076"/>
      <c r="BA129" s="2076"/>
      <c r="BB129" s="2076"/>
      <c r="BC129" s="2076"/>
      <c r="BD129" s="2077"/>
      <c r="BE129" s="1215"/>
    </row>
    <row r="130" spans="1:57" ht="15.75" customHeight="1">
      <c r="A130" s="1208"/>
      <c r="B130" s="2155"/>
      <c r="C130" s="2156"/>
      <c r="D130" s="2156"/>
      <c r="E130" s="2156"/>
      <c r="F130" s="2156"/>
      <c r="G130" s="2156"/>
      <c r="H130" s="2156"/>
      <c r="I130" s="2157"/>
      <c r="J130" s="2157"/>
      <c r="K130" s="2157"/>
      <c r="L130" s="2157"/>
      <c r="M130" s="2157"/>
      <c r="N130" s="2157"/>
      <c r="O130" s="2157"/>
      <c r="P130" s="2157"/>
      <c r="Q130" s="2157"/>
      <c r="R130" s="2157"/>
      <c r="S130" s="2157"/>
      <c r="T130" s="2157"/>
      <c r="U130" s="2158"/>
      <c r="V130" s="1208"/>
      <c r="W130" s="1208"/>
      <c r="X130" s="2075"/>
      <c r="Y130" s="2076"/>
      <c r="Z130" s="2076"/>
      <c r="AA130" s="2076"/>
      <c r="AB130" s="2076"/>
      <c r="AC130" s="2076"/>
      <c r="AD130" s="2076"/>
      <c r="AE130" s="2076"/>
      <c r="AF130" s="2076"/>
      <c r="AG130" s="2076"/>
      <c r="AH130" s="2076"/>
      <c r="AI130" s="2076"/>
      <c r="AJ130" s="2076"/>
      <c r="AK130" s="2076"/>
      <c r="AL130" s="2076"/>
      <c r="AM130" s="2076"/>
      <c r="AN130" s="2076"/>
      <c r="AO130" s="2076"/>
      <c r="AP130" s="2076"/>
      <c r="AQ130" s="2076"/>
      <c r="AR130" s="2076"/>
      <c r="AS130" s="2076"/>
      <c r="AT130" s="2076"/>
      <c r="AU130" s="2076"/>
      <c r="AV130" s="2076"/>
      <c r="AW130" s="2076"/>
      <c r="AX130" s="2076"/>
      <c r="AY130" s="2076"/>
      <c r="AZ130" s="2076"/>
      <c r="BA130" s="2076"/>
      <c r="BB130" s="2076"/>
      <c r="BC130" s="2076"/>
      <c r="BD130" s="2077"/>
      <c r="BE130" s="1215"/>
    </row>
    <row r="131" spans="1:57" ht="15.75" customHeight="1">
      <c r="A131" s="1208"/>
      <c r="B131" s="2128" t="s">
        <v>2282</v>
      </c>
      <c r="C131" s="2129"/>
      <c r="D131" s="2129"/>
      <c r="E131" s="2129"/>
      <c r="F131" s="2129"/>
      <c r="G131" s="2129"/>
      <c r="H131" s="2129"/>
      <c r="I131" s="2106">
        <v>2</v>
      </c>
      <c r="J131" s="2106"/>
      <c r="K131" s="2106"/>
      <c r="L131" s="2106"/>
      <c r="M131" s="2106"/>
      <c r="N131" s="2106"/>
      <c r="O131" s="2106"/>
      <c r="P131" s="2106">
        <v>7</v>
      </c>
      <c r="Q131" s="2106"/>
      <c r="R131" s="2106"/>
      <c r="S131" s="2106"/>
      <c r="T131" s="2106"/>
      <c r="U131" s="2107"/>
      <c r="V131" s="1208"/>
      <c r="W131" s="1208"/>
      <c r="X131" s="2075"/>
      <c r="Y131" s="2076"/>
      <c r="Z131" s="2076"/>
      <c r="AA131" s="2076"/>
      <c r="AB131" s="2076"/>
      <c r="AC131" s="2076"/>
      <c r="AD131" s="2076"/>
      <c r="AE131" s="2076"/>
      <c r="AF131" s="2076"/>
      <c r="AG131" s="2076"/>
      <c r="AH131" s="2076"/>
      <c r="AI131" s="2076"/>
      <c r="AJ131" s="2076"/>
      <c r="AK131" s="2076"/>
      <c r="AL131" s="2076"/>
      <c r="AM131" s="2076"/>
      <c r="AN131" s="2076"/>
      <c r="AO131" s="2076"/>
      <c r="AP131" s="2076"/>
      <c r="AQ131" s="2076"/>
      <c r="AR131" s="2076"/>
      <c r="AS131" s="2076"/>
      <c r="AT131" s="2076"/>
      <c r="AU131" s="2076"/>
      <c r="AV131" s="2076"/>
      <c r="AW131" s="2076"/>
      <c r="AX131" s="2076"/>
      <c r="AY131" s="2076"/>
      <c r="AZ131" s="2076"/>
      <c r="BA131" s="2076"/>
      <c r="BB131" s="2076"/>
      <c r="BC131" s="2076"/>
      <c r="BD131" s="2077"/>
      <c r="BE131" s="1215"/>
    </row>
    <row r="132" spans="1:57" ht="15.75" customHeight="1" thickBot="1">
      <c r="A132" s="1208"/>
      <c r="B132" s="2130" t="s">
        <v>2281</v>
      </c>
      <c r="C132" s="2131"/>
      <c r="D132" s="2131"/>
      <c r="E132" s="2131"/>
      <c r="F132" s="2131"/>
      <c r="G132" s="2131"/>
      <c r="H132" s="2131"/>
      <c r="I132" s="2104">
        <v>1</v>
      </c>
      <c r="J132" s="2104"/>
      <c r="K132" s="2104"/>
      <c r="L132" s="2104"/>
      <c r="M132" s="2104"/>
      <c r="N132" s="2104"/>
      <c r="O132" s="2104"/>
      <c r="P132" s="2104">
        <v>1</v>
      </c>
      <c r="Q132" s="2104"/>
      <c r="R132" s="2104"/>
      <c r="S132" s="2104"/>
      <c r="T132" s="2104"/>
      <c r="U132" s="2105"/>
      <c r="V132" s="1208"/>
      <c r="W132" s="1208"/>
      <c r="X132" s="2078"/>
      <c r="Y132" s="2079"/>
      <c r="Z132" s="2079"/>
      <c r="AA132" s="2079"/>
      <c r="AB132" s="2079"/>
      <c r="AC132" s="2079"/>
      <c r="AD132" s="2079"/>
      <c r="AE132" s="2079"/>
      <c r="AF132" s="2079"/>
      <c r="AG132" s="2079"/>
      <c r="AH132" s="2079"/>
      <c r="AI132" s="2079"/>
      <c r="AJ132" s="2079"/>
      <c r="AK132" s="2079"/>
      <c r="AL132" s="2079"/>
      <c r="AM132" s="2079"/>
      <c r="AN132" s="2079"/>
      <c r="AO132" s="2079"/>
      <c r="AP132" s="2079"/>
      <c r="AQ132" s="2079"/>
      <c r="AR132" s="2079"/>
      <c r="AS132" s="2079"/>
      <c r="AT132" s="2079"/>
      <c r="AU132" s="2079"/>
      <c r="AV132" s="2079"/>
      <c r="AW132" s="2079"/>
      <c r="AX132" s="2079"/>
      <c r="AY132" s="2079"/>
      <c r="AZ132" s="2079"/>
      <c r="BA132" s="2079"/>
      <c r="BB132" s="2079"/>
      <c r="BC132" s="2079"/>
      <c r="BD132" s="2080"/>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53" t="s">
        <v>2293</v>
      </c>
      <c r="C134" s="2154"/>
      <c r="D134" s="2154"/>
      <c r="E134" s="2154"/>
      <c r="F134" s="2154"/>
      <c r="G134" s="2154"/>
      <c r="H134" s="2154"/>
      <c r="I134" s="2154"/>
      <c r="J134" s="2154"/>
      <c r="K134" s="2154"/>
      <c r="L134" s="2154"/>
      <c r="M134" s="2154"/>
      <c r="N134" s="2154"/>
      <c r="O134" s="2154"/>
      <c r="P134" s="2154"/>
      <c r="Q134" s="2154"/>
      <c r="R134" s="2154"/>
      <c r="S134" s="2154"/>
      <c r="T134" s="2154"/>
      <c r="U134" s="2154"/>
      <c r="V134" s="2154"/>
      <c r="W134" s="2154"/>
      <c r="X134" s="2154"/>
      <c r="Y134" s="2154"/>
      <c r="Z134" s="2154"/>
      <c r="AA134" s="2154"/>
      <c r="AB134" s="2154"/>
      <c r="AC134" s="2154"/>
      <c r="AD134" s="2154"/>
      <c r="AE134" s="2154"/>
      <c r="AF134" s="2154"/>
      <c r="AG134" s="2154"/>
      <c r="AH134" s="2052" t="s">
        <v>544</v>
      </c>
      <c r="AI134" s="2052"/>
      <c r="AJ134" s="2052"/>
      <c r="AK134" s="2052"/>
      <c r="AL134" s="2052"/>
      <c r="AM134" s="2052"/>
      <c r="AN134" s="2052"/>
      <c r="AO134" s="2052"/>
      <c r="AP134" s="2052"/>
      <c r="AQ134" s="2052"/>
      <c r="AR134" s="2052"/>
      <c r="AS134" s="2052"/>
      <c r="AT134" s="2052"/>
      <c r="AU134" s="2052"/>
      <c r="AV134" s="2052"/>
      <c r="AW134" s="2052"/>
      <c r="AX134" s="2053"/>
      <c r="AY134" s="1208"/>
      <c r="AZ134" s="1208"/>
      <c r="BA134" s="1208"/>
      <c r="BB134" s="1208"/>
      <c r="BC134" s="1208"/>
      <c r="BD134" s="1208"/>
      <c r="BE134" s="1215"/>
    </row>
    <row r="135" spans="1:57" ht="15.75" customHeight="1" thickBot="1">
      <c r="A135" s="1208"/>
      <c r="B135" s="2139" t="s">
        <v>2292</v>
      </c>
      <c r="C135" s="2140"/>
      <c r="D135" s="2140"/>
      <c r="E135" s="2140"/>
      <c r="F135" s="2140"/>
      <c r="G135" s="2140"/>
      <c r="H135" s="2140"/>
      <c r="I135" s="2140"/>
      <c r="J135" s="2140"/>
      <c r="K135" s="2140"/>
      <c r="L135" s="2140"/>
      <c r="M135" s="2140"/>
      <c r="N135" s="2140"/>
      <c r="O135" s="2140"/>
      <c r="P135" s="2140"/>
      <c r="Q135" s="2140"/>
      <c r="R135" s="2140"/>
      <c r="S135" s="2140"/>
      <c r="T135" s="2140"/>
      <c r="U135" s="2140"/>
      <c r="V135" s="2140"/>
      <c r="W135" s="2140"/>
      <c r="X135" s="2140"/>
      <c r="Y135" s="2140"/>
      <c r="Z135" s="2140"/>
      <c r="AA135" s="2140"/>
      <c r="AB135" s="2140"/>
      <c r="AC135" s="2140"/>
      <c r="AD135" s="2140"/>
      <c r="AE135" s="2140"/>
      <c r="AF135" s="2140"/>
      <c r="AG135" s="2141"/>
      <c r="AH135" s="2109" t="s">
        <v>2713</v>
      </c>
      <c r="AI135" s="2110"/>
      <c r="AJ135" s="2110"/>
      <c r="AK135" s="2110"/>
      <c r="AL135" s="2110"/>
      <c r="AM135" s="2110"/>
      <c r="AN135" s="2110"/>
      <c r="AO135" s="2110"/>
      <c r="AP135" s="2110"/>
      <c r="AQ135" s="2110"/>
      <c r="AR135" s="2110"/>
      <c r="AS135" s="2110"/>
      <c r="AT135" s="2110"/>
      <c r="AU135" s="2110"/>
      <c r="AV135" s="2110"/>
      <c r="AW135" s="2110"/>
      <c r="AX135" s="2111"/>
      <c r="AY135" s="1208"/>
      <c r="AZ135" s="1208"/>
      <c r="BA135" s="1208"/>
      <c r="BB135" s="1208"/>
      <c r="BC135" s="1208"/>
      <c r="BD135" s="1208"/>
      <c r="BE135" s="1215"/>
    </row>
    <row r="136" spans="1:57" ht="15.75" customHeight="1">
      <c r="A136" s="1208"/>
      <c r="B136" s="2139" t="s">
        <v>2291</v>
      </c>
      <c r="C136" s="2140"/>
      <c r="D136" s="2140"/>
      <c r="E136" s="2140"/>
      <c r="F136" s="2140"/>
      <c r="G136" s="2140"/>
      <c r="H136" s="2140"/>
      <c r="I136" s="2140"/>
      <c r="J136" s="2140"/>
      <c r="K136" s="2140"/>
      <c r="L136" s="2140"/>
      <c r="M136" s="2140"/>
      <c r="N136" s="2140"/>
      <c r="O136" s="2140"/>
      <c r="P136" s="2140"/>
      <c r="Q136" s="2140"/>
      <c r="R136" s="2140"/>
      <c r="S136" s="2140"/>
      <c r="T136" s="2140"/>
      <c r="U136" s="2140"/>
      <c r="V136" s="2140"/>
      <c r="W136" s="2140"/>
      <c r="X136" s="2140"/>
      <c r="Y136" s="2140"/>
      <c r="Z136" s="2140"/>
      <c r="AA136" s="2140"/>
      <c r="AB136" s="2140"/>
      <c r="AC136" s="2140"/>
      <c r="AD136" s="2140"/>
      <c r="AE136" s="2140"/>
      <c r="AF136" s="2140"/>
      <c r="AG136" s="2141"/>
      <c r="AH136" s="2052" t="s">
        <v>668</v>
      </c>
      <c r="AI136" s="2052"/>
      <c r="AJ136" s="2052"/>
      <c r="AK136" s="2052"/>
      <c r="AL136" s="2052"/>
      <c r="AM136" s="2052"/>
      <c r="AN136" s="2052"/>
      <c r="AO136" s="2052"/>
      <c r="AP136" s="2052"/>
      <c r="AQ136" s="2052"/>
      <c r="AR136" s="2052"/>
      <c r="AS136" s="2052"/>
      <c r="AT136" s="2052"/>
      <c r="AU136" s="2052"/>
      <c r="AV136" s="2052"/>
      <c r="AW136" s="2052"/>
      <c r="AX136" s="2053"/>
      <c r="AY136" s="1208"/>
      <c r="AZ136" s="1208"/>
      <c r="BA136" s="1208"/>
      <c r="BB136" s="1208"/>
      <c r="BC136" s="1208"/>
      <c r="BD136" s="1208"/>
      <c r="BE136" s="1215"/>
    </row>
    <row r="137" spans="1:57" ht="15.75" customHeight="1">
      <c r="A137" s="1208"/>
      <c r="B137" s="2142" t="s">
        <v>2290</v>
      </c>
      <c r="C137" s="2143"/>
      <c r="D137" s="2143"/>
      <c r="E137" s="2143"/>
      <c r="F137" s="2143"/>
      <c r="G137" s="2143"/>
      <c r="H137" s="2143"/>
      <c r="I137" s="2143"/>
      <c r="J137" s="2143"/>
      <c r="K137" s="2143"/>
      <c r="L137" s="2143"/>
      <c r="M137" s="2143"/>
      <c r="N137" s="2143"/>
      <c r="O137" s="2143"/>
      <c r="P137" s="2143"/>
      <c r="Q137" s="2143"/>
      <c r="R137" s="2144" t="s">
        <v>2751</v>
      </c>
      <c r="S137" s="2144"/>
      <c r="T137" s="2144"/>
      <c r="U137" s="2144"/>
      <c r="V137" s="2144"/>
      <c r="W137" s="2144"/>
      <c r="X137" s="2144"/>
      <c r="Y137" s="2144"/>
      <c r="Z137" s="2144"/>
      <c r="AA137" s="2144"/>
      <c r="AB137" s="2144"/>
      <c r="AC137" s="2144"/>
      <c r="AD137" s="2144"/>
      <c r="AE137" s="2144"/>
      <c r="AF137" s="2144"/>
      <c r="AG137" s="2144"/>
      <c r="AH137" s="2144"/>
      <c r="AI137" s="2144"/>
      <c r="AJ137" s="2144"/>
      <c r="AK137" s="2144"/>
      <c r="AL137" s="2144"/>
      <c r="AM137" s="2144"/>
      <c r="AN137" s="2144"/>
      <c r="AO137" s="2144"/>
      <c r="AP137" s="2144"/>
      <c r="AQ137" s="2144"/>
      <c r="AR137" s="2144"/>
      <c r="AS137" s="2144"/>
      <c r="AT137" s="2144"/>
      <c r="AU137" s="2144"/>
      <c r="AV137" s="2144"/>
      <c r="AW137" s="2144"/>
      <c r="AX137" s="2145"/>
      <c r="AY137" s="1208"/>
      <c r="AZ137" s="1208"/>
      <c r="BA137" s="1208"/>
      <c r="BB137" s="1208"/>
      <c r="BC137" s="1208" t="s">
        <v>250</v>
      </c>
      <c r="BD137" s="1208"/>
      <c r="BE137" s="1215"/>
    </row>
    <row r="138" spans="1:57" ht="15.75" customHeight="1">
      <c r="A138" s="1208"/>
      <c r="B138" s="2146" t="s">
        <v>2750</v>
      </c>
      <c r="C138" s="2147"/>
      <c r="D138" s="2147"/>
      <c r="E138" s="2147"/>
      <c r="F138" s="2147"/>
      <c r="G138" s="2147"/>
      <c r="H138" s="2147"/>
      <c r="I138" s="2147"/>
      <c r="J138" s="2147"/>
      <c r="K138" s="2147"/>
      <c r="L138" s="2147"/>
      <c r="M138" s="2147"/>
      <c r="N138" s="2147"/>
      <c r="O138" s="2147"/>
      <c r="P138" s="2147"/>
      <c r="Q138" s="2147"/>
      <c r="R138" s="2147"/>
      <c r="S138" s="2147"/>
      <c r="T138" s="2147"/>
      <c r="U138" s="2147"/>
      <c r="V138" s="2147"/>
      <c r="W138" s="2147"/>
      <c r="X138" s="2147"/>
      <c r="Y138" s="2147"/>
      <c r="Z138" s="2147"/>
      <c r="AA138" s="2147"/>
      <c r="AB138" s="2147"/>
      <c r="AC138" s="2147"/>
      <c r="AD138" s="2147"/>
      <c r="AE138" s="2147"/>
      <c r="AF138" s="2147"/>
      <c r="AG138" s="2147"/>
      <c r="AH138" s="2147"/>
      <c r="AI138" s="2147"/>
      <c r="AJ138" s="2147"/>
      <c r="AK138" s="2147"/>
      <c r="AL138" s="2147"/>
      <c r="AM138" s="2147"/>
      <c r="AN138" s="2147"/>
      <c r="AO138" s="2147"/>
      <c r="AP138" s="2147"/>
      <c r="AQ138" s="2147"/>
      <c r="AR138" s="2147"/>
      <c r="AS138" s="2147"/>
      <c r="AT138" s="2147"/>
      <c r="AU138" s="2147"/>
      <c r="AV138" s="2147"/>
      <c r="AW138" s="2147"/>
      <c r="AX138" s="2148"/>
      <c r="AY138" s="1208"/>
      <c r="AZ138" s="1208"/>
      <c r="BA138" s="1208"/>
      <c r="BB138" s="1208"/>
      <c r="BC138" s="1208"/>
      <c r="BD138" s="1208"/>
      <c r="BE138" s="1215"/>
    </row>
    <row r="139" spans="1:57" ht="15.75" customHeight="1">
      <c r="A139" s="1208"/>
      <c r="B139" s="2149"/>
      <c r="C139" s="2147"/>
      <c r="D139" s="2147"/>
      <c r="E139" s="2147"/>
      <c r="F139" s="2147"/>
      <c r="G139" s="2147"/>
      <c r="H139" s="2147"/>
      <c r="I139" s="2147"/>
      <c r="J139" s="2147"/>
      <c r="K139" s="2147"/>
      <c r="L139" s="2147"/>
      <c r="M139" s="2147"/>
      <c r="N139" s="2147"/>
      <c r="O139" s="2147"/>
      <c r="P139" s="2147"/>
      <c r="Q139" s="2147"/>
      <c r="R139" s="2147"/>
      <c r="S139" s="2147"/>
      <c r="T139" s="2147"/>
      <c r="U139" s="2147"/>
      <c r="V139" s="2147"/>
      <c r="W139" s="2147"/>
      <c r="X139" s="2147"/>
      <c r="Y139" s="2147"/>
      <c r="Z139" s="2147"/>
      <c r="AA139" s="2147"/>
      <c r="AB139" s="2147"/>
      <c r="AC139" s="2147"/>
      <c r="AD139" s="2147"/>
      <c r="AE139" s="2147"/>
      <c r="AF139" s="2147"/>
      <c r="AG139" s="2147"/>
      <c r="AH139" s="2147"/>
      <c r="AI139" s="2147"/>
      <c r="AJ139" s="2147"/>
      <c r="AK139" s="2147"/>
      <c r="AL139" s="2147"/>
      <c r="AM139" s="2147"/>
      <c r="AN139" s="2147"/>
      <c r="AO139" s="2147"/>
      <c r="AP139" s="2147"/>
      <c r="AQ139" s="2147"/>
      <c r="AR139" s="2147"/>
      <c r="AS139" s="2147"/>
      <c r="AT139" s="2147"/>
      <c r="AU139" s="2147"/>
      <c r="AV139" s="2147"/>
      <c r="AW139" s="2147"/>
      <c r="AX139" s="2148"/>
      <c r="AY139" s="1208"/>
      <c r="AZ139" s="1208"/>
      <c r="BA139" s="1208"/>
      <c r="BB139" s="1208"/>
      <c r="BC139" s="1208"/>
      <c r="BD139" s="1208"/>
      <c r="BE139" s="1215"/>
    </row>
    <row r="140" spans="1:57" ht="15.75" customHeight="1">
      <c r="A140" s="1208"/>
      <c r="B140" s="2149"/>
      <c r="C140" s="2147"/>
      <c r="D140" s="2147"/>
      <c r="E140" s="2147"/>
      <c r="F140" s="2147"/>
      <c r="G140" s="2147"/>
      <c r="H140" s="2147"/>
      <c r="I140" s="2147"/>
      <c r="J140" s="2147"/>
      <c r="K140" s="2147"/>
      <c r="L140" s="2147"/>
      <c r="M140" s="2147"/>
      <c r="N140" s="2147"/>
      <c r="O140" s="2147"/>
      <c r="P140" s="2147"/>
      <c r="Q140" s="2147"/>
      <c r="R140" s="2147"/>
      <c r="S140" s="2147"/>
      <c r="T140" s="2147"/>
      <c r="U140" s="2147"/>
      <c r="V140" s="2147"/>
      <c r="W140" s="2147"/>
      <c r="X140" s="2147"/>
      <c r="Y140" s="2147"/>
      <c r="Z140" s="2147"/>
      <c r="AA140" s="2147"/>
      <c r="AB140" s="2147"/>
      <c r="AC140" s="2147"/>
      <c r="AD140" s="2147"/>
      <c r="AE140" s="2147"/>
      <c r="AF140" s="2147"/>
      <c r="AG140" s="2147"/>
      <c r="AH140" s="2147"/>
      <c r="AI140" s="2147"/>
      <c r="AJ140" s="2147"/>
      <c r="AK140" s="2147"/>
      <c r="AL140" s="2147"/>
      <c r="AM140" s="2147"/>
      <c r="AN140" s="2147"/>
      <c r="AO140" s="2147"/>
      <c r="AP140" s="2147"/>
      <c r="AQ140" s="2147"/>
      <c r="AR140" s="2147"/>
      <c r="AS140" s="2147"/>
      <c r="AT140" s="2147"/>
      <c r="AU140" s="2147"/>
      <c r="AV140" s="2147"/>
      <c r="AW140" s="2147"/>
      <c r="AX140" s="2148"/>
      <c r="AY140" s="1208"/>
      <c r="AZ140" s="1208"/>
      <c r="BA140" s="1208"/>
      <c r="BB140" s="1208"/>
      <c r="BC140" s="1208"/>
      <c r="BD140" s="1208"/>
      <c r="BE140" s="1215"/>
    </row>
    <row r="141" spans="1:57" ht="15.75" customHeight="1">
      <c r="A141" s="1208"/>
      <c r="B141" s="2149"/>
      <c r="C141" s="2147"/>
      <c r="D141" s="2147"/>
      <c r="E141" s="2147"/>
      <c r="F141" s="2147"/>
      <c r="G141" s="2147"/>
      <c r="H141" s="2147"/>
      <c r="I141" s="2147"/>
      <c r="J141" s="2147"/>
      <c r="K141" s="2147"/>
      <c r="L141" s="2147"/>
      <c r="M141" s="2147"/>
      <c r="N141" s="2147"/>
      <c r="O141" s="2147"/>
      <c r="P141" s="2147"/>
      <c r="Q141" s="2147"/>
      <c r="R141" s="2147"/>
      <c r="S141" s="2147"/>
      <c r="T141" s="2147"/>
      <c r="U141" s="2147"/>
      <c r="V141" s="2147"/>
      <c r="W141" s="2147"/>
      <c r="X141" s="2147"/>
      <c r="Y141" s="2147"/>
      <c r="Z141" s="2147"/>
      <c r="AA141" s="2147"/>
      <c r="AB141" s="2147"/>
      <c r="AC141" s="2147"/>
      <c r="AD141" s="2147"/>
      <c r="AE141" s="2147"/>
      <c r="AF141" s="2147"/>
      <c r="AG141" s="2147"/>
      <c r="AH141" s="2147"/>
      <c r="AI141" s="2147"/>
      <c r="AJ141" s="2147"/>
      <c r="AK141" s="2147"/>
      <c r="AL141" s="2147"/>
      <c r="AM141" s="2147"/>
      <c r="AN141" s="2147"/>
      <c r="AO141" s="2147"/>
      <c r="AP141" s="2147"/>
      <c r="AQ141" s="2147"/>
      <c r="AR141" s="2147"/>
      <c r="AS141" s="2147"/>
      <c r="AT141" s="2147"/>
      <c r="AU141" s="2147"/>
      <c r="AV141" s="2147"/>
      <c r="AW141" s="2147"/>
      <c r="AX141" s="2148"/>
      <c r="AY141" s="1208"/>
      <c r="AZ141" s="1208"/>
      <c r="BA141" s="1208"/>
      <c r="BB141" s="1208"/>
      <c r="BC141" s="1208"/>
      <c r="BD141" s="1208"/>
      <c r="BE141" s="1215"/>
    </row>
    <row r="142" spans="1:57" ht="15.75" customHeight="1">
      <c r="A142" s="1208"/>
      <c r="B142" s="2149"/>
      <c r="C142" s="2147"/>
      <c r="D142" s="2147"/>
      <c r="E142" s="2147"/>
      <c r="F142" s="2147"/>
      <c r="G142" s="2147"/>
      <c r="H142" s="2147"/>
      <c r="I142" s="2147"/>
      <c r="J142" s="2147"/>
      <c r="K142" s="2147"/>
      <c r="L142" s="2147"/>
      <c r="M142" s="2147"/>
      <c r="N142" s="2147"/>
      <c r="O142" s="2147"/>
      <c r="P142" s="2147"/>
      <c r="Q142" s="2147"/>
      <c r="R142" s="2147"/>
      <c r="S142" s="2147"/>
      <c r="T142" s="2147"/>
      <c r="U142" s="2147"/>
      <c r="V142" s="2147"/>
      <c r="W142" s="2147"/>
      <c r="X142" s="2147"/>
      <c r="Y142" s="2147"/>
      <c r="Z142" s="2147"/>
      <c r="AA142" s="2147"/>
      <c r="AB142" s="2147"/>
      <c r="AC142" s="2147"/>
      <c r="AD142" s="2147"/>
      <c r="AE142" s="2147"/>
      <c r="AF142" s="2147"/>
      <c r="AG142" s="2147"/>
      <c r="AH142" s="2147"/>
      <c r="AI142" s="2147"/>
      <c r="AJ142" s="2147"/>
      <c r="AK142" s="2147"/>
      <c r="AL142" s="2147"/>
      <c r="AM142" s="2147"/>
      <c r="AN142" s="2147"/>
      <c r="AO142" s="2147"/>
      <c r="AP142" s="2147"/>
      <c r="AQ142" s="2147"/>
      <c r="AR142" s="2147"/>
      <c r="AS142" s="2147"/>
      <c r="AT142" s="2147"/>
      <c r="AU142" s="2147"/>
      <c r="AV142" s="2147"/>
      <c r="AW142" s="2147"/>
      <c r="AX142" s="2148"/>
      <c r="AY142" s="1208"/>
      <c r="AZ142" s="1208"/>
      <c r="BA142" s="1208"/>
      <c r="BB142" s="1208"/>
      <c r="BC142" s="1208"/>
      <c r="BD142" s="1208"/>
      <c r="BE142" s="1215"/>
    </row>
    <row r="143" spans="1:57" ht="15.75" customHeight="1">
      <c r="A143" s="1208"/>
      <c r="B143" s="2149"/>
      <c r="C143" s="2147"/>
      <c r="D143" s="2147"/>
      <c r="E143" s="2147"/>
      <c r="F143" s="2147"/>
      <c r="G143" s="2147"/>
      <c r="H143" s="2147"/>
      <c r="I143" s="2147"/>
      <c r="J143" s="2147"/>
      <c r="K143" s="2147"/>
      <c r="L143" s="2147"/>
      <c r="M143" s="2147"/>
      <c r="N143" s="2147"/>
      <c r="O143" s="2147"/>
      <c r="P143" s="2147"/>
      <c r="Q143" s="2147"/>
      <c r="R143" s="2147"/>
      <c r="S143" s="2147"/>
      <c r="T143" s="2147"/>
      <c r="U143" s="2147"/>
      <c r="V143" s="2147"/>
      <c r="W143" s="2147"/>
      <c r="X143" s="2147"/>
      <c r="Y143" s="2147"/>
      <c r="Z143" s="2147"/>
      <c r="AA143" s="2147"/>
      <c r="AB143" s="2147"/>
      <c r="AC143" s="2147"/>
      <c r="AD143" s="2147"/>
      <c r="AE143" s="2147"/>
      <c r="AF143" s="2147"/>
      <c r="AG143" s="2147"/>
      <c r="AH143" s="2147"/>
      <c r="AI143" s="2147"/>
      <c r="AJ143" s="2147"/>
      <c r="AK143" s="2147"/>
      <c r="AL143" s="2147"/>
      <c r="AM143" s="2147"/>
      <c r="AN143" s="2147"/>
      <c r="AO143" s="2147"/>
      <c r="AP143" s="2147"/>
      <c r="AQ143" s="2147"/>
      <c r="AR143" s="2147"/>
      <c r="AS143" s="2147"/>
      <c r="AT143" s="2147"/>
      <c r="AU143" s="2147"/>
      <c r="AV143" s="2147"/>
      <c r="AW143" s="2147"/>
      <c r="AX143" s="2148"/>
      <c r="AY143" s="1208"/>
      <c r="AZ143" s="1208"/>
      <c r="BA143" s="1208"/>
      <c r="BB143" s="1208"/>
      <c r="BC143" s="1208"/>
      <c r="BD143" s="1208"/>
      <c r="BE143" s="1215"/>
    </row>
    <row r="144" spans="1:57" ht="15.75" customHeight="1">
      <c r="A144" s="1208"/>
      <c r="B144" s="2149"/>
      <c r="C144" s="2147"/>
      <c r="D144" s="2147"/>
      <c r="E144" s="2147"/>
      <c r="F144" s="2147"/>
      <c r="G144" s="2147"/>
      <c r="H144" s="2147"/>
      <c r="I144" s="2147"/>
      <c r="J144" s="2147"/>
      <c r="K144" s="2147"/>
      <c r="L144" s="2147"/>
      <c r="M144" s="2147"/>
      <c r="N144" s="2147"/>
      <c r="O144" s="2147"/>
      <c r="P144" s="2147"/>
      <c r="Q144" s="2147"/>
      <c r="R144" s="2147"/>
      <c r="S144" s="2147"/>
      <c r="T144" s="2147"/>
      <c r="U144" s="2147"/>
      <c r="V144" s="2147"/>
      <c r="W144" s="2147"/>
      <c r="X144" s="2147"/>
      <c r="Y144" s="2147"/>
      <c r="Z144" s="2147"/>
      <c r="AA144" s="2147"/>
      <c r="AB144" s="2147"/>
      <c r="AC144" s="2147"/>
      <c r="AD144" s="2147"/>
      <c r="AE144" s="2147"/>
      <c r="AF144" s="2147"/>
      <c r="AG144" s="2147"/>
      <c r="AH144" s="2147"/>
      <c r="AI144" s="2147"/>
      <c r="AJ144" s="2147"/>
      <c r="AK144" s="2147"/>
      <c r="AL144" s="2147"/>
      <c r="AM144" s="2147"/>
      <c r="AN144" s="2147"/>
      <c r="AO144" s="2147"/>
      <c r="AP144" s="2147"/>
      <c r="AQ144" s="2147"/>
      <c r="AR144" s="2147"/>
      <c r="AS144" s="2147"/>
      <c r="AT144" s="2147"/>
      <c r="AU144" s="2147"/>
      <c r="AV144" s="2147"/>
      <c r="AW144" s="2147"/>
      <c r="AX144" s="2148"/>
      <c r="AY144" s="1208"/>
      <c r="AZ144" s="1208"/>
      <c r="BA144" s="1208"/>
      <c r="BB144" s="1208"/>
      <c r="BC144" s="1208"/>
      <c r="BD144" s="1208"/>
      <c r="BE144" s="1215"/>
    </row>
    <row r="145" spans="1:57" ht="15.75" customHeight="1">
      <c r="A145" s="1208"/>
      <c r="B145" s="2149"/>
      <c r="C145" s="2147"/>
      <c r="D145" s="2147"/>
      <c r="E145" s="2147"/>
      <c r="F145" s="2147"/>
      <c r="G145" s="2147"/>
      <c r="H145" s="2147"/>
      <c r="I145" s="2147"/>
      <c r="J145" s="2147"/>
      <c r="K145" s="2147"/>
      <c r="L145" s="2147"/>
      <c r="M145" s="2147"/>
      <c r="N145" s="2147"/>
      <c r="O145" s="2147"/>
      <c r="P145" s="2147"/>
      <c r="Q145" s="2147"/>
      <c r="R145" s="2147"/>
      <c r="S145" s="2147"/>
      <c r="T145" s="2147"/>
      <c r="U145" s="2147"/>
      <c r="V145" s="2147"/>
      <c r="W145" s="2147"/>
      <c r="X145" s="2147"/>
      <c r="Y145" s="2147"/>
      <c r="Z145" s="2147"/>
      <c r="AA145" s="2147"/>
      <c r="AB145" s="2147"/>
      <c r="AC145" s="2147"/>
      <c r="AD145" s="2147"/>
      <c r="AE145" s="2147"/>
      <c r="AF145" s="2147"/>
      <c r="AG145" s="2147"/>
      <c r="AH145" s="2147"/>
      <c r="AI145" s="2147"/>
      <c r="AJ145" s="2147"/>
      <c r="AK145" s="2147"/>
      <c r="AL145" s="2147"/>
      <c r="AM145" s="2147"/>
      <c r="AN145" s="2147"/>
      <c r="AO145" s="2147"/>
      <c r="AP145" s="2147"/>
      <c r="AQ145" s="2147"/>
      <c r="AR145" s="2147"/>
      <c r="AS145" s="2147"/>
      <c r="AT145" s="2147"/>
      <c r="AU145" s="2147"/>
      <c r="AV145" s="2147"/>
      <c r="AW145" s="2147"/>
      <c r="AX145" s="2148"/>
      <c r="AY145" s="1208"/>
      <c r="AZ145" s="1208"/>
      <c r="BA145" s="1208"/>
      <c r="BB145" s="1208"/>
      <c r="BC145" s="1208"/>
      <c r="BD145" s="1208"/>
      <c r="BE145" s="1215"/>
    </row>
    <row r="146" spans="1:57" ht="15.75" customHeight="1">
      <c r="A146" s="1208"/>
      <c r="B146" s="2149"/>
      <c r="C146" s="2147"/>
      <c r="D146" s="2147"/>
      <c r="E146" s="2147"/>
      <c r="F146" s="2147"/>
      <c r="G146" s="2147"/>
      <c r="H146" s="2147"/>
      <c r="I146" s="2147"/>
      <c r="J146" s="2147"/>
      <c r="K146" s="2147"/>
      <c r="L146" s="2147"/>
      <c r="M146" s="2147"/>
      <c r="N146" s="2147"/>
      <c r="O146" s="2147"/>
      <c r="P146" s="2147"/>
      <c r="Q146" s="2147"/>
      <c r="R146" s="2147"/>
      <c r="S146" s="2147"/>
      <c r="T146" s="2147"/>
      <c r="U146" s="2147"/>
      <c r="V146" s="2147"/>
      <c r="W146" s="2147"/>
      <c r="X146" s="2147"/>
      <c r="Y146" s="2147"/>
      <c r="Z146" s="2147"/>
      <c r="AA146" s="2147"/>
      <c r="AB146" s="2147"/>
      <c r="AC146" s="2147"/>
      <c r="AD146" s="2147"/>
      <c r="AE146" s="2147"/>
      <c r="AF146" s="2147"/>
      <c r="AG146" s="2147"/>
      <c r="AH146" s="2147"/>
      <c r="AI146" s="2147"/>
      <c r="AJ146" s="2147"/>
      <c r="AK146" s="2147"/>
      <c r="AL146" s="2147"/>
      <c r="AM146" s="2147"/>
      <c r="AN146" s="2147"/>
      <c r="AO146" s="2147"/>
      <c r="AP146" s="2147"/>
      <c r="AQ146" s="2147"/>
      <c r="AR146" s="2147"/>
      <c r="AS146" s="2147"/>
      <c r="AT146" s="2147"/>
      <c r="AU146" s="2147"/>
      <c r="AV146" s="2147"/>
      <c r="AW146" s="2147"/>
      <c r="AX146" s="2148"/>
      <c r="AY146" s="1208"/>
      <c r="AZ146" s="1208"/>
      <c r="BA146" s="1208"/>
      <c r="BB146" s="1208"/>
      <c r="BC146" s="1208"/>
      <c r="BD146" s="1208"/>
      <c r="BE146" s="1215"/>
    </row>
    <row r="147" spans="1:57" ht="15.75" customHeight="1" thickBot="1">
      <c r="A147" s="1208"/>
      <c r="B147" s="2150"/>
      <c r="C147" s="2151"/>
      <c r="D147" s="2151"/>
      <c r="E147" s="2151"/>
      <c r="F147" s="2151"/>
      <c r="G147" s="2151"/>
      <c r="H147" s="2151"/>
      <c r="I147" s="2151"/>
      <c r="J147" s="2151"/>
      <c r="K147" s="2151"/>
      <c r="L147" s="2151"/>
      <c r="M147" s="2151"/>
      <c r="N147" s="2151"/>
      <c r="O147" s="2151"/>
      <c r="P147" s="2151"/>
      <c r="Q147" s="2151"/>
      <c r="R147" s="2151"/>
      <c r="S147" s="2151"/>
      <c r="T147" s="2151"/>
      <c r="U147" s="2151"/>
      <c r="V147" s="2151"/>
      <c r="W147" s="2151"/>
      <c r="X147" s="2151"/>
      <c r="Y147" s="2151"/>
      <c r="Z147" s="2151"/>
      <c r="AA147" s="2151"/>
      <c r="AB147" s="2151"/>
      <c r="AC147" s="2151"/>
      <c r="AD147" s="2151"/>
      <c r="AE147" s="2151"/>
      <c r="AF147" s="2151"/>
      <c r="AG147" s="2151"/>
      <c r="AH147" s="2151"/>
      <c r="AI147" s="2151"/>
      <c r="AJ147" s="2151"/>
      <c r="AK147" s="2151"/>
      <c r="AL147" s="2151"/>
      <c r="AM147" s="2151"/>
      <c r="AN147" s="2151"/>
      <c r="AO147" s="2151"/>
      <c r="AP147" s="2151"/>
      <c r="AQ147" s="2151"/>
      <c r="AR147" s="2151"/>
      <c r="AS147" s="2151"/>
      <c r="AT147" s="2151"/>
      <c r="AU147" s="2151"/>
      <c r="AV147" s="2151"/>
      <c r="AW147" s="2151"/>
      <c r="AX147" s="2152"/>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2289</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2288</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24" t="s">
        <v>2287</v>
      </c>
      <c r="C151" s="2025"/>
      <c r="D151" s="2025"/>
      <c r="E151" s="2025"/>
      <c r="F151" s="2025"/>
      <c r="G151" s="2025"/>
      <c r="H151" s="2025"/>
      <c r="I151" s="2025"/>
      <c r="J151" s="2025"/>
      <c r="K151" s="2025"/>
      <c r="L151" s="2025"/>
      <c r="M151" s="2025"/>
      <c r="N151" s="2025"/>
      <c r="O151" s="2025"/>
      <c r="P151" s="2025"/>
      <c r="Q151" s="2025"/>
      <c r="R151" s="2025"/>
      <c r="S151" s="2025"/>
      <c r="T151" s="2025"/>
      <c r="U151" s="2026"/>
      <c r="V151" s="1208"/>
      <c r="W151" s="1209"/>
      <c r="X151" s="2024" t="s">
        <v>2286</v>
      </c>
      <c r="Y151" s="2025"/>
      <c r="Z151" s="2025"/>
      <c r="AA151" s="2025"/>
      <c r="AB151" s="2025"/>
      <c r="AC151" s="2025"/>
      <c r="AD151" s="2025"/>
      <c r="AE151" s="2025"/>
      <c r="AF151" s="2025"/>
      <c r="AG151" s="2025"/>
      <c r="AH151" s="2025"/>
      <c r="AI151" s="2025"/>
      <c r="AJ151" s="2025"/>
      <c r="AK151" s="2025"/>
      <c r="AL151" s="2025"/>
      <c r="AM151" s="2025"/>
      <c r="AN151" s="2025"/>
      <c r="AO151" s="2025"/>
      <c r="AP151" s="2025"/>
      <c r="AQ151" s="2026"/>
      <c r="AR151" s="1208"/>
      <c r="AS151" s="1208"/>
      <c r="AT151" s="1208"/>
      <c r="AU151" s="1208"/>
      <c r="AV151" s="1208"/>
      <c r="AW151" s="1208"/>
      <c r="AX151" s="1208"/>
      <c r="AY151" s="1208"/>
      <c r="AZ151" s="1208"/>
      <c r="BA151" s="1208"/>
      <c r="BB151" s="1208"/>
      <c r="BC151" s="1208"/>
      <c r="BD151" s="1208"/>
      <c r="BE151" s="1215"/>
    </row>
    <row r="152" spans="1:57" ht="15.75" customHeight="1">
      <c r="A152" s="1208"/>
      <c r="B152" s="2155"/>
      <c r="C152" s="2156"/>
      <c r="D152" s="2156"/>
      <c r="E152" s="2156"/>
      <c r="F152" s="2156"/>
      <c r="G152" s="2156"/>
      <c r="H152" s="2156"/>
      <c r="I152" s="2157" t="s">
        <v>2284</v>
      </c>
      <c r="J152" s="2157"/>
      <c r="K152" s="2157"/>
      <c r="L152" s="2157"/>
      <c r="M152" s="2157"/>
      <c r="N152" s="2157"/>
      <c r="O152" s="2157"/>
      <c r="P152" s="2157" t="s">
        <v>2285</v>
      </c>
      <c r="Q152" s="2157"/>
      <c r="R152" s="2157"/>
      <c r="S152" s="2157"/>
      <c r="T152" s="2157"/>
      <c r="U152" s="2158"/>
      <c r="V152" s="1208"/>
      <c r="W152" s="1208"/>
      <c r="X152" s="2155"/>
      <c r="Y152" s="2156"/>
      <c r="Z152" s="2156"/>
      <c r="AA152" s="2156"/>
      <c r="AB152" s="2156"/>
      <c r="AC152" s="2156"/>
      <c r="AD152" s="2156"/>
      <c r="AE152" s="2157" t="s">
        <v>2284</v>
      </c>
      <c r="AF152" s="2157"/>
      <c r="AG152" s="2157"/>
      <c r="AH152" s="2157"/>
      <c r="AI152" s="2157"/>
      <c r="AJ152" s="2157"/>
      <c r="AK152" s="2157"/>
      <c r="AL152" s="2157" t="s">
        <v>2283</v>
      </c>
      <c r="AM152" s="2157"/>
      <c r="AN152" s="2157"/>
      <c r="AO152" s="2157"/>
      <c r="AP152" s="2157"/>
      <c r="AQ152" s="2158"/>
      <c r="AR152" s="1208"/>
      <c r="AS152" s="1208"/>
      <c r="AT152" s="1208"/>
      <c r="AU152" s="1208"/>
      <c r="AV152" s="1208"/>
      <c r="AW152" s="1208"/>
      <c r="AX152" s="1208"/>
      <c r="AY152" s="1208"/>
      <c r="AZ152" s="1208"/>
      <c r="BA152" s="1208"/>
      <c r="BB152" s="1208"/>
      <c r="BC152" s="1208"/>
      <c r="BD152" s="1208"/>
      <c r="BE152" s="1215"/>
    </row>
    <row r="153" spans="1:57" ht="15.75" customHeight="1">
      <c r="A153" s="1208"/>
      <c r="B153" s="2155"/>
      <c r="C153" s="2156"/>
      <c r="D153" s="2156"/>
      <c r="E153" s="2156"/>
      <c r="F153" s="2156"/>
      <c r="G153" s="2156"/>
      <c r="H153" s="2156"/>
      <c r="I153" s="2157"/>
      <c r="J153" s="2157"/>
      <c r="K153" s="2157"/>
      <c r="L153" s="2157"/>
      <c r="M153" s="2157"/>
      <c r="N153" s="2157"/>
      <c r="O153" s="2157"/>
      <c r="P153" s="2157"/>
      <c r="Q153" s="2157"/>
      <c r="R153" s="2157"/>
      <c r="S153" s="2157"/>
      <c r="T153" s="2157"/>
      <c r="U153" s="2158"/>
      <c r="V153" s="1208"/>
      <c r="W153" s="1208"/>
      <c r="X153" s="2155"/>
      <c r="Y153" s="2156"/>
      <c r="Z153" s="2156"/>
      <c r="AA153" s="2156"/>
      <c r="AB153" s="2156"/>
      <c r="AC153" s="2156"/>
      <c r="AD153" s="2156"/>
      <c r="AE153" s="2157"/>
      <c r="AF153" s="2157"/>
      <c r="AG153" s="2157"/>
      <c r="AH153" s="2157"/>
      <c r="AI153" s="2157"/>
      <c r="AJ153" s="2157"/>
      <c r="AK153" s="2157"/>
      <c r="AL153" s="2157"/>
      <c r="AM153" s="2157"/>
      <c r="AN153" s="2157"/>
      <c r="AO153" s="2157"/>
      <c r="AP153" s="2157"/>
      <c r="AQ153" s="2158"/>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28" t="s">
        <v>2282</v>
      </c>
      <c r="C154" s="2129"/>
      <c r="D154" s="2129"/>
      <c r="E154" s="2129"/>
      <c r="F154" s="2129"/>
      <c r="G154" s="2129"/>
      <c r="H154" s="2129"/>
      <c r="I154" s="2106">
        <v>13</v>
      </c>
      <c r="J154" s="2106"/>
      <c r="K154" s="2106"/>
      <c r="L154" s="2106"/>
      <c r="M154" s="2106"/>
      <c r="N154" s="2106"/>
      <c r="O154" s="2106"/>
      <c r="P154" s="2106">
        <v>3</v>
      </c>
      <c r="Q154" s="2106"/>
      <c r="R154" s="2106"/>
      <c r="S154" s="2106"/>
      <c r="T154" s="2106"/>
      <c r="U154" s="2107"/>
      <c r="V154" s="1208"/>
      <c r="W154" s="1208"/>
      <c r="X154" s="2130" t="s">
        <v>2282</v>
      </c>
      <c r="Y154" s="2131"/>
      <c r="Z154" s="2131"/>
      <c r="AA154" s="2131"/>
      <c r="AB154" s="2131"/>
      <c r="AC154" s="2131"/>
      <c r="AD154" s="2131"/>
      <c r="AE154" s="2104">
        <v>15</v>
      </c>
      <c r="AF154" s="2104"/>
      <c r="AG154" s="2104"/>
      <c r="AH154" s="2104"/>
      <c r="AI154" s="2104"/>
      <c r="AJ154" s="2104"/>
      <c r="AK154" s="2104"/>
      <c r="AL154" s="2104">
        <v>13</v>
      </c>
      <c r="AM154" s="2104"/>
      <c r="AN154" s="2104"/>
      <c r="AO154" s="2104"/>
      <c r="AP154" s="2104"/>
      <c r="AQ154" s="2105"/>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30" t="s">
        <v>2281</v>
      </c>
      <c r="C155" s="2131"/>
      <c r="D155" s="2131"/>
      <c r="E155" s="2131"/>
      <c r="F155" s="2131"/>
      <c r="G155" s="2131"/>
      <c r="H155" s="2131"/>
      <c r="I155" s="2104">
        <v>0</v>
      </c>
      <c r="J155" s="2104"/>
      <c r="K155" s="2104"/>
      <c r="L155" s="2104"/>
      <c r="M155" s="2104"/>
      <c r="N155" s="2104"/>
      <c r="O155" s="2104"/>
      <c r="P155" s="2104">
        <v>5</v>
      </c>
      <c r="Q155" s="2104"/>
      <c r="R155" s="2104"/>
      <c r="S155" s="2104"/>
      <c r="T155" s="2104"/>
      <c r="U155" s="2105"/>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24" t="s">
        <v>2280</v>
      </c>
      <c r="D157" s="2025"/>
      <c r="E157" s="2025"/>
      <c r="F157" s="2025"/>
      <c r="G157" s="2025"/>
      <c r="H157" s="2025"/>
      <c r="I157" s="2025"/>
      <c r="J157" s="2025"/>
      <c r="K157" s="2025"/>
      <c r="L157" s="2025"/>
      <c r="M157" s="2025"/>
      <c r="N157" s="2025"/>
      <c r="O157" s="2025"/>
      <c r="P157" s="2025"/>
      <c r="Q157" s="2025"/>
      <c r="R157" s="2025"/>
      <c r="S157" s="2025"/>
      <c r="T157" s="2025"/>
      <c r="U157" s="2025"/>
      <c r="V157" s="2025"/>
      <c r="W157" s="2025"/>
      <c r="X157" s="2025"/>
      <c r="Y157" s="2025"/>
      <c r="Z157" s="2025"/>
      <c r="AA157" s="2025"/>
      <c r="AB157" s="2025"/>
      <c r="AC157" s="2025"/>
      <c r="AD157" s="2025"/>
      <c r="AE157" s="2025"/>
      <c r="AF157" s="2025"/>
      <c r="AG157" s="2026"/>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55" t="s">
        <v>2266</v>
      </c>
      <c r="D158" s="2156"/>
      <c r="E158" s="2156"/>
      <c r="F158" s="2156"/>
      <c r="G158" s="2156"/>
      <c r="H158" s="2156"/>
      <c r="I158" s="2156"/>
      <c r="J158" s="2156"/>
      <c r="K158" s="2156"/>
      <c r="L158" s="2156"/>
      <c r="M158" s="2156"/>
      <c r="N158" s="2156"/>
      <c r="O158" s="2156"/>
      <c r="P158" s="2156"/>
      <c r="Q158" s="2156" t="s">
        <v>2279</v>
      </c>
      <c r="R158" s="2156"/>
      <c r="S158" s="2156"/>
      <c r="T158" s="2101" t="s">
        <v>2278</v>
      </c>
      <c r="U158" s="2101"/>
      <c r="V158" s="2101"/>
      <c r="W158" s="2101"/>
      <c r="X158" s="2101"/>
      <c r="Y158" s="2101"/>
      <c r="Z158" s="2101"/>
      <c r="AA158" s="2101"/>
      <c r="AB158" s="2156" t="s">
        <v>2277</v>
      </c>
      <c r="AC158" s="2156"/>
      <c r="AD158" s="2156"/>
      <c r="AE158" s="2156"/>
      <c r="AF158" s="2156"/>
      <c r="AG158" s="2166"/>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61" t="s">
        <v>2276</v>
      </c>
      <c r="D159" s="2162"/>
      <c r="E159" s="2162"/>
      <c r="F159" s="2162"/>
      <c r="G159" s="2162"/>
      <c r="H159" s="2162"/>
      <c r="I159" s="2162"/>
      <c r="J159" s="2162"/>
      <c r="K159" s="2162"/>
      <c r="L159" s="2162"/>
      <c r="M159" s="2162"/>
      <c r="N159" s="2162"/>
      <c r="O159" s="2162"/>
      <c r="P159" s="2162"/>
      <c r="Q159" s="2163">
        <v>55</v>
      </c>
      <c r="R159" s="2163"/>
      <c r="S159" s="2163"/>
      <c r="T159" s="2164" t="s">
        <v>590</v>
      </c>
      <c r="U159" s="2164"/>
      <c r="V159" s="2164"/>
      <c r="W159" s="2164"/>
      <c r="X159" s="2164"/>
      <c r="Y159" s="2164"/>
      <c r="Z159" s="2164"/>
      <c r="AA159" s="2164"/>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61" t="s">
        <v>2275</v>
      </c>
      <c r="D160" s="2162"/>
      <c r="E160" s="2162"/>
      <c r="F160" s="2162"/>
      <c r="G160" s="2162"/>
      <c r="H160" s="2162"/>
      <c r="I160" s="2162"/>
      <c r="J160" s="2162"/>
      <c r="K160" s="2162"/>
      <c r="L160" s="2162"/>
      <c r="M160" s="2162"/>
      <c r="N160" s="2162"/>
      <c r="O160" s="2162"/>
      <c r="P160" s="2162"/>
      <c r="Q160" s="2163">
        <v>55</v>
      </c>
      <c r="R160" s="2163"/>
      <c r="S160" s="2163"/>
      <c r="T160" s="2165" t="s">
        <v>590</v>
      </c>
      <c r="U160" s="2165"/>
      <c r="V160" s="2165"/>
      <c r="W160" s="2165"/>
      <c r="X160" s="2165"/>
      <c r="Y160" s="2165"/>
      <c r="Z160" s="2165"/>
      <c r="AA160" s="2165"/>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61" t="s">
        <v>2274</v>
      </c>
      <c r="D161" s="2162"/>
      <c r="E161" s="2162"/>
      <c r="F161" s="2162"/>
      <c r="G161" s="2162"/>
      <c r="H161" s="2162"/>
      <c r="I161" s="2162"/>
      <c r="J161" s="2162"/>
      <c r="K161" s="2162"/>
      <c r="L161" s="2162"/>
      <c r="M161" s="2162"/>
      <c r="N161" s="2162"/>
      <c r="O161" s="2162"/>
      <c r="P161" s="2162"/>
      <c r="Q161" s="2163">
        <v>55</v>
      </c>
      <c r="R161" s="2163"/>
      <c r="S161" s="2163"/>
      <c r="T161" s="2164" t="s">
        <v>590</v>
      </c>
      <c r="U161" s="2164"/>
      <c r="V161" s="2164"/>
      <c r="W161" s="2164"/>
      <c r="X161" s="2164"/>
      <c r="Y161" s="2164"/>
      <c r="Z161" s="2164"/>
      <c r="AA161" s="2164"/>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61" t="s">
        <v>2273</v>
      </c>
      <c r="D162" s="2162"/>
      <c r="E162" s="2162"/>
      <c r="F162" s="2162"/>
      <c r="G162" s="2162"/>
      <c r="H162" s="2162"/>
      <c r="I162" s="2162"/>
      <c r="J162" s="2162"/>
      <c r="K162" s="2162"/>
      <c r="L162" s="2162"/>
      <c r="M162" s="2162"/>
      <c r="N162" s="2162"/>
      <c r="O162" s="2162"/>
      <c r="P162" s="2162"/>
      <c r="Q162" s="2163">
        <v>55</v>
      </c>
      <c r="R162" s="2163"/>
      <c r="S162" s="2163"/>
      <c r="T162" s="2164" t="s">
        <v>590</v>
      </c>
      <c r="U162" s="2164"/>
      <c r="V162" s="2164"/>
      <c r="W162" s="2164"/>
      <c r="X162" s="2164"/>
      <c r="Y162" s="2164"/>
      <c r="Z162" s="2164"/>
      <c r="AA162" s="2164"/>
      <c r="AB162" s="2167">
        <v>0</v>
      </c>
      <c r="AC162" s="2167"/>
      <c r="AD162" s="2167"/>
      <c r="AE162" s="2167"/>
      <c r="AF162" s="2167"/>
      <c r="AG162" s="2168"/>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61" t="s">
        <v>170</v>
      </c>
      <c r="D163" s="2162"/>
      <c r="E163" s="2162"/>
      <c r="F163" s="2169" t="s">
        <v>2255</v>
      </c>
      <c r="G163" s="2169"/>
      <c r="H163" s="2169"/>
      <c r="I163" s="2169"/>
      <c r="J163" s="2169"/>
      <c r="K163" s="2169"/>
      <c r="L163" s="2169"/>
      <c r="M163" s="2169"/>
      <c r="N163" s="2169"/>
      <c r="O163" s="2169"/>
      <c r="P163" s="2169"/>
      <c r="Q163" s="2163">
        <v>55</v>
      </c>
      <c r="R163" s="2163"/>
      <c r="S163" s="2163"/>
      <c r="T163" s="2165" t="s">
        <v>590</v>
      </c>
      <c r="U163" s="2165"/>
      <c r="V163" s="2165"/>
      <c r="W163" s="2165"/>
      <c r="X163" s="2165"/>
      <c r="Y163" s="2165"/>
      <c r="Z163" s="2165"/>
      <c r="AA163" s="2165"/>
      <c r="AB163" s="2167">
        <v>0</v>
      </c>
      <c r="AC163" s="2167"/>
      <c r="AD163" s="2167"/>
      <c r="AE163" s="2167"/>
      <c r="AF163" s="2167"/>
      <c r="AG163" s="2168"/>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61" t="s">
        <v>170</v>
      </c>
      <c r="D164" s="2162"/>
      <c r="E164" s="2162"/>
      <c r="F164" s="2169" t="s">
        <v>2255</v>
      </c>
      <c r="G164" s="2169"/>
      <c r="H164" s="2169"/>
      <c r="I164" s="2169"/>
      <c r="J164" s="2169"/>
      <c r="K164" s="2169"/>
      <c r="L164" s="2169"/>
      <c r="M164" s="2169"/>
      <c r="N164" s="2169"/>
      <c r="O164" s="2169"/>
      <c r="P164" s="2169"/>
      <c r="Q164" s="2163">
        <v>55</v>
      </c>
      <c r="R164" s="2163"/>
      <c r="S164" s="2163"/>
      <c r="T164" s="2165" t="s">
        <v>590</v>
      </c>
      <c r="U164" s="2165"/>
      <c r="V164" s="2165"/>
      <c r="W164" s="2165"/>
      <c r="X164" s="2165"/>
      <c r="Y164" s="2165"/>
      <c r="Z164" s="2165"/>
      <c r="AA164" s="2165"/>
      <c r="AB164" s="2167">
        <v>0</v>
      </c>
      <c r="AC164" s="2167"/>
      <c r="AD164" s="2167"/>
      <c r="AE164" s="2167"/>
      <c r="AF164" s="2167"/>
      <c r="AG164" s="2168"/>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70" t="s">
        <v>170</v>
      </c>
      <c r="D165" s="2171"/>
      <c r="E165" s="2171"/>
      <c r="F165" s="2172" t="s">
        <v>2255</v>
      </c>
      <c r="G165" s="2172"/>
      <c r="H165" s="2172"/>
      <c r="I165" s="2172"/>
      <c r="J165" s="2172"/>
      <c r="K165" s="2172"/>
      <c r="L165" s="2172"/>
      <c r="M165" s="2172"/>
      <c r="N165" s="2172"/>
      <c r="O165" s="2172"/>
      <c r="P165" s="2172"/>
      <c r="Q165" s="2173">
        <v>55</v>
      </c>
      <c r="R165" s="2173"/>
      <c r="S165" s="2173"/>
      <c r="T165" s="2174" t="s">
        <v>590</v>
      </c>
      <c r="U165" s="2174"/>
      <c r="V165" s="2174"/>
      <c r="W165" s="2174"/>
      <c r="X165" s="2174"/>
      <c r="Y165" s="2174"/>
      <c r="Z165" s="2174"/>
      <c r="AA165" s="2174"/>
      <c r="AB165" s="2175">
        <v>0</v>
      </c>
      <c r="AC165" s="2175"/>
      <c r="AD165" s="2175"/>
      <c r="AE165" s="2175"/>
      <c r="AF165" s="2175"/>
      <c r="AG165" s="2176"/>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71" t="s">
        <v>2272</v>
      </c>
      <c r="D167" s="2072"/>
      <c r="E167" s="2072"/>
      <c r="F167" s="2072"/>
      <c r="G167" s="2072"/>
      <c r="H167" s="2072"/>
      <c r="I167" s="2072"/>
      <c r="J167" s="2072"/>
      <c r="K167" s="2072"/>
      <c r="L167" s="2072"/>
      <c r="M167" s="2072"/>
      <c r="N167" s="2112"/>
      <c r="O167" s="1208"/>
      <c r="P167" s="2177" t="s">
        <v>2271</v>
      </c>
      <c r="Q167" s="2178"/>
      <c r="R167" s="2178"/>
      <c r="S167" s="2178"/>
      <c r="T167" s="2178"/>
      <c r="U167" s="2178"/>
      <c r="V167" s="2178"/>
      <c r="W167" s="2178"/>
      <c r="X167" s="2178"/>
      <c r="Y167" s="2178"/>
      <c r="Z167" s="2178"/>
      <c r="AA167" s="2178"/>
      <c r="AB167" s="2178"/>
      <c r="AC167" s="2178"/>
      <c r="AD167" s="2178"/>
      <c r="AE167" s="2178"/>
      <c r="AF167" s="2178"/>
      <c r="AG167" s="2178"/>
      <c r="AH167" s="2178"/>
      <c r="AI167" s="2178"/>
      <c r="AJ167" s="2178"/>
      <c r="AK167" s="2178"/>
      <c r="AL167" s="2178"/>
      <c r="AM167" s="2178"/>
      <c r="AN167" s="2178"/>
      <c r="AO167" s="2179"/>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55" t="s">
        <v>2270</v>
      </c>
      <c r="D168" s="2156"/>
      <c r="E168" s="2156"/>
      <c r="F168" s="2156"/>
      <c r="G168" s="2156"/>
      <c r="H168" s="2156"/>
      <c r="I168" s="2156" t="s">
        <v>2269</v>
      </c>
      <c r="J168" s="2156"/>
      <c r="K168" s="2156"/>
      <c r="L168" s="2156"/>
      <c r="M168" s="2156"/>
      <c r="N168" s="2166"/>
      <c r="O168" s="1208"/>
      <c r="P168" s="2075" t="s">
        <v>2705</v>
      </c>
      <c r="Q168" s="2076"/>
      <c r="R168" s="2076"/>
      <c r="S168" s="2076"/>
      <c r="T168" s="2076"/>
      <c r="U168" s="2076"/>
      <c r="V168" s="2076"/>
      <c r="W168" s="2076"/>
      <c r="X168" s="2076"/>
      <c r="Y168" s="2076"/>
      <c r="Z168" s="2076"/>
      <c r="AA168" s="2076"/>
      <c r="AB168" s="2076"/>
      <c r="AC168" s="2076"/>
      <c r="AD168" s="2076"/>
      <c r="AE168" s="2076"/>
      <c r="AF168" s="2076"/>
      <c r="AG168" s="2076"/>
      <c r="AH168" s="2076"/>
      <c r="AI168" s="2076"/>
      <c r="AJ168" s="2076"/>
      <c r="AK168" s="2076"/>
      <c r="AL168" s="2076"/>
      <c r="AM168" s="2076"/>
      <c r="AN168" s="2076"/>
      <c r="AO168" s="2077"/>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81" t="s">
        <v>2703</v>
      </c>
      <c r="D169" s="2031"/>
      <c r="E169" s="2031"/>
      <c r="F169" s="2031"/>
      <c r="G169" s="2031"/>
      <c r="H169" s="2031"/>
      <c r="I169" s="2164">
        <v>46071</v>
      </c>
      <c r="J169" s="2164"/>
      <c r="K169" s="2164"/>
      <c r="L169" s="2164"/>
      <c r="M169" s="2164"/>
      <c r="N169" s="2180"/>
      <c r="O169" s="1208"/>
      <c r="P169" s="2075"/>
      <c r="Q169" s="2076"/>
      <c r="R169" s="2076"/>
      <c r="S169" s="2076"/>
      <c r="T169" s="2076"/>
      <c r="U169" s="2076"/>
      <c r="V169" s="2076"/>
      <c r="W169" s="2076"/>
      <c r="X169" s="2076"/>
      <c r="Y169" s="2076"/>
      <c r="Z169" s="2076"/>
      <c r="AA169" s="2076"/>
      <c r="AB169" s="2076"/>
      <c r="AC169" s="2076"/>
      <c r="AD169" s="2076"/>
      <c r="AE169" s="2076"/>
      <c r="AF169" s="2076"/>
      <c r="AG169" s="2076"/>
      <c r="AH169" s="2076"/>
      <c r="AI169" s="2076"/>
      <c r="AJ169" s="2076"/>
      <c r="AK169" s="2076"/>
      <c r="AL169" s="2076"/>
      <c r="AM169" s="2076"/>
      <c r="AN169" s="2076"/>
      <c r="AO169" s="2077"/>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81" t="s">
        <v>2704</v>
      </c>
      <c r="D170" s="2031"/>
      <c r="E170" s="2031"/>
      <c r="F170" s="2031"/>
      <c r="G170" s="2031"/>
      <c r="H170" s="2031"/>
      <c r="I170" s="2164">
        <v>46079</v>
      </c>
      <c r="J170" s="2164"/>
      <c r="K170" s="2164"/>
      <c r="L170" s="2164"/>
      <c r="M170" s="2164"/>
      <c r="N170" s="2180"/>
      <c r="O170" s="1208"/>
      <c r="P170" s="2075"/>
      <c r="Q170" s="2076"/>
      <c r="R170" s="2076"/>
      <c r="S170" s="2076"/>
      <c r="T170" s="2076"/>
      <c r="U170" s="2076"/>
      <c r="V170" s="2076"/>
      <c r="W170" s="2076"/>
      <c r="X170" s="2076"/>
      <c r="Y170" s="2076"/>
      <c r="Z170" s="2076"/>
      <c r="AA170" s="2076"/>
      <c r="AB170" s="2076"/>
      <c r="AC170" s="2076"/>
      <c r="AD170" s="2076"/>
      <c r="AE170" s="2076"/>
      <c r="AF170" s="2076"/>
      <c r="AG170" s="2076"/>
      <c r="AH170" s="2076"/>
      <c r="AI170" s="2076"/>
      <c r="AJ170" s="2076"/>
      <c r="AK170" s="2076"/>
      <c r="AL170" s="2076"/>
      <c r="AM170" s="2076"/>
      <c r="AN170" s="2076"/>
      <c r="AO170" s="2077"/>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81"/>
      <c r="D171" s="2031"/>
      <c r="E171" s="2031"/>
      <c r="F171" s="2031"/>
      <c r="G171" s="2031"/>
      <c r="H171" s="2031"/>
      <c r="I171" s="2164"/>
      <c r="J171" s="2164"/>
      <c r="K171" s="2164"/>
      <c r="L171" s="2164"/>
      <c r="M171" s="2164"/>
      <c r="N171" s="2180"/>
      <c r="O171" s="1208"/>
      <c r="P171" s="2075"/>
      <c r="Q171" s="2076"/>
      <c r="R171" s="2076"/>
      <c r="S171" s="2076"/>
      <c r="T171" s="2076"/>
      <c r="U171" s="2076"/>
      <c r="V171" s="2076"/>
      <c r="W171" s="2076"/>
      <c r="X171" s="2076"/>
      <c r="Y171" s="2076"/>
      <c r="Z171" s="2076"/>
      <c r="AA171" s="2076"/>
      <c r="AB171" s="2076"/>
      <c r="AC171" s="2076"/>
      <c r="AD171" s="2076"/>
      <c r="AE171" s="2076"/>
      <c r="AF171" s="2076"/>
      <c r="AG171" s="2076"/>
      <c r="AH171" s="2076"/>
      <c r="AI171" s="2076"/>
      <c r="AJ171" s="2076"/>
      <c r="AK171" s="2076"/>
      <c r="AL171" s="2076"/>
      <c r="AM171" s="2076"/>
      <c r="AN171" s="2076"/>
      <c r="AO171" s="2077"/>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81"/>
      <c r="D172" s="2031"/>
      <c r="E172" s="2031"/>
      <c r="F172" s="2031"/>
      <c r="G172" s="2031"/>
      <c r="H172" s="2031"/>
      <c r="I172" s="2164"/>
      <c r="J172" s="2164"/>
      <c r="K172" s="2164"/>
      <c r="L172" s="2164"/>
      <c r="M172" s="2164"/>
      <c r="N172" s="2180"/>
      <c r="O172" s="1208"/>
      <c r="P172" s="2075"/>
      <c r="Q172" s="2076"/>
      <c r="R172" s="2076"/>
      <c r="S172" s="2076"/>
      <c r="T172" s="2076"/>
      <c r="U172" s="2076"/>
      <c r="V172" s="2076"/>
      <c r="W172" s="2076"/>
      <c r="X172" s="2076"/>
      <c r="Y172" s="2076"/>
      <c r="Z172" s="2076"/>
      <c r="AA172" s="2076"/>
      <c r="AB172" s="2076"/>
      <c r="AC172" s="2076"/>
      <c r="AD172" s="2076"/>
      <c r="AE172" s="2076"/>
      <c r="AF172" s="2076"/>
      <c r="AG172" s="2076"/>
      <c r="AH172" s="2076"/>
      <c r="AI172" s="2076"/>
      <c r="AJ172" s="2076"/>
      <c r="AK172" s="2076"/>
      <c r="AL172" s="2076"/>
      <c r="AM172" s="2076"/>
      <c r="AN172" s="2076"/>
      <c r="AO172" s="2077"/>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81"/>
      <c r="D173" s="2031"/>
      <c r="E173" s="2031"/>
      <c r="F173" s="2031"/>
      <c r="G173" s="2031"/>
      <c r="H173" s="2031"/>
      <c r="I173" s="2164"/>
      <c r="J173" s="2164"/>
      <c r="K173" s="2164"/>
      <c r="L173" s="2164"/>
      <c r="M173" s="2164"/>
      <c r="N173" s="2180"/>
      <c r="O173" s="1208"/>
      <c r="P173" s="2075"/>
      <c r="Q173" s="2076"/>
      <c r="R173" s="2076"/>
      <c r="S173" s="2076"/>
      <c r="T173" s="2076"/>
      <c r="U173" s="2076"/>
      <c r="V173" s="2076"/>
      <c r="W173" s="2076"/>
      <c r="X173" s="2076"/>
      <c r="Y173" s="2076"/>
      <c r="Z173" s="2076"/>
      <c r="AA173" s="2076"/>
      <c r="AB173" s="2076"/>
      <c r="AC173" s="2076"/>
      <c r="AD173" s="2076"/>
      <c r="AE173" s="2076"/>
      <c r="AF173" s="2076"/>
      <c r="AG173" s="2076"/>
      <c r="AH173" s="2076"/>
      <c r="AI173" s="2076"/>
      <c r="AJ173" s="2076"/>
      <c r="AK173" s="2076"/>
      <c r="AL173" s="2076"/>
      <c r="AM173" s="2076"/>
      <c r="AN173" s="2076"/>
      <c r="AO173" s="2077"/>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81"/>
      <c r="D174" s="2031"/>
      <c r="E174" s="2031"/>
      <c r="F174" s="2031"/>
      <c r="G174" s="2031"/>
      <c r="H174" s="2031"/>
      <c r="I174" s="2164"/>
      <c r="J174" s="2164"/>
      <c r="K174" s="2164"/>
      <c r="L174" s="2164"/>
      <c r="M174" s="2164"/>
      <c r="N174" s="2180"/>
      <c r="O174" s="1208"/>
      <c r="P174" s="2075"/>
      <c r="Q174" s="2076"/>
      <c r="R174" s="2076"/>
      <c r="S174" s="2076"/>
      <c r="T174" s="2076"/>
      <c r="U174" s="2076"/>
      <c r="V174" s="2076"/>
      <c r="W174" s="2076"/>
      <c r="X174" s="2076"/>
      <c r="Y174" s="2076"/>
      <c r="Z174" s="2076"/>
      <c r="AA174" s="2076"/>
      <c r="AB174" s="2076"/>
      <c r="AC174" s="2076"/>
      <c r="AD174" s="2076"/>
      <c r="AE174" s="2076"/>
      <c r="AF174" s="2076"/>
      <c r="AG174" s="2076"/>
      <c r="AH174" s="2076"/>
      <c r="AI174" s="2076"/>
      <c r="AJ174" s="2076"/>
      <c r="AK174" s="2076"/>
      <c r="AL174" s="2076"/>
      <c r="AM174" s="2076"/>
      <c r="AN174" s="2076"/>
      <c r="AO174" s="2077"/>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81"/>
      <c r="D175" s="2182"/>
      <c r="E175" s="2182"/>
      <c r="F175" s="2182"/>
      <c r="G175" s="2182"/>
      <c r="H175" s="2182"/>
      <c r="I175" s="2183"/>
      <c r="J175" s="2183"/>
      <c r="K175" s="2183"/>
      <c r="L175" s="2183"/>
      <c r="M175" s="2183"/>
      <c r="N175" s="2184"/>
      <c r="O175" s="1208"/>
      <c r="P175" s="2078"/>
      <c r="Q175" s="2079"/>
      <c r="R175" s="2079"/>
      <c r="S175" s="2079"/>
      <c r="T175" s="2079"/>
      <c r="U175" s="2079"/>
      <c r="V175" s="2079"/>
      <c r="W175" s="2079"/>
      <c r="X175" s="2079"/>
      <c r="Y175" s="2079"/>
      <c r="Z175" s="2079"/>
      <c r="AA175" s="2079"/>
      <c r="AB175" s="2079"/>
      <c r="AC175" s="2079"/>
      <c r="AD175" s="2079"/>
      <c r="AE175" s="2079"/>
      <c r="AF175" s="2079"/>
      <c r="AG175" s="2079"/>
      <c r="AH175" s="2079"/>
      <c r="AI175" s="2079"/>
      <c r="AJ175" s="2079"/>
      <c r="AK175" s="2079"/>
      <c r="AL175" s="2079"/>
      <c r="AM175" s="2079"/>
      <c r="AN175" s="2079"/>
      <c r="AO175" s="2080"/>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88" t="s">
        <v>2268</v>
      </c>
      <c r="D177" s="2189"/>
      <c r="E177" s="2189"/>
      <c r="F177" s="2189"/>
      <c r="G177" s="2189"/>
      <c r="H177" s="2189"/>
      <c r="I177" s="2189"/>
      <c r="J177" s="2189"/>
      <c r="K177" s="2189"/>
      <c r="L177" s="2189"/>
      <c r="M177" s="2189"/>
      <c r="N177" s="2189"/>
      <c r="O177" s="2189"/>
      <c r="P177" s="2189"/>
      <c r="Q177" s="2189"/>
      <c r="R177" s="2189"/>
      <c r="S177" s="2189"/>
      <c r="T177" s="2189"/>
      <c r="U177" s="2189"/>
      <c r="V177" s="2189"/>
      <c r="W177" s="2189"/>
      <c r="X177" s="2189"/>
      <c r="Y177" s="2189"/>
      <c r="Z177" s="2189"/>
      <c r="AA177" s="2189"/>
      <c r="AB177" s="2189"/>
      <c r="AC177" s="2189"/>
      <c r="AD177" s="2189"/>
      <c r="AE177" s="2190"/>
      <c r="AF177" s="1208"/>
      <c r="AG177" s="1208"/>
      <c r="AH177" s="2198"/>
      <c r="AI177" s="2198"/>
      <c r="AJ177" s="2198"/>
      <c r="AK177" s="2198"/>
      <c r="AL177" s="2198"/>
      <c r="AM177" s="2198"/>
      <c r="AN177" s="2198"/>
      <c r="AO177" s="2198"/>
      <c r="AP177" s="2198"/>
      <c r="AQ177" s="2198"/>
      <c r="AR177" s="2198"/>
      <c r="AS177" s="2198"/>
      <c r="AT177" s="2198"/>
      <c r="AU177" s="2198"/>
      <c r="AV177" s="2198"/>
      <c r="AW177" s="2198"/>
      <c r="AX177" s="2198"/>
      <c r="AY177" s="2198"/>
      <c r="AZ177" s="2198"/>
      <c r="BA177" s="2198"/>
      <c r="BB177" s="2198"/>
      <c r="BC177" s="2198"/>
      <c r="BD177" s="2198"/>
      <c r="BE177" s="2198"/>
    </row>
    <row r="178" spans="1:57" ht="15.75" customHeight="1" thickBot="1">
      <c r="A178" s="1208"/>
      <c r="B178" s="1208"/>
      <c r="C178" s="2191"/>
      <c r="D178" s="2192"/>
      <c r="E178" s="2192"/>
      <c r="F178" s="2192"/>
      <c r="G178" s="2192"/>
      <c r="H178" s="2192"/>
      <c r="I178" s="2192"/>
      <c r="J178" s="2192"/>
      <c r="K178" s="2192"/>
      <c r="L178" s="2192"/>
      <c r="M178" s="2192"/>
      <c r="N178" s="2192"/>
      <c r="O178" s="2192"/>
      <c r="P178" s="2192"/>
      <c r="Q178" s="2192"/>
      <c r="R178" s="2192"/>
      <c r="S178" s="2192"/>
      <c r="T178" s="2192"/>
      <c r="U178" s="2192"/>
      <c r="V178" s="2192"/>
      <c r="W178" s="2192"/>
      <c r="X178" s="2192"/>
      <c r="Y178" s="2192"/>
      <c r="Z178" s="2192"/>
      <c r="AA178" s="2192"/>
      <c r="AB178" s="2192"/>
      <c r="AC178" s="2192"/>
      <c r="AD178" s="2192"/>
      <c r="AE178" s="2193"/>
      <c r="AF178" s="1208"/>
      <c r="AG178" s="1208"/>
      <c r="AH178" s="2198"/>
      <c r="AI178" s="2198"/>
      <c r="AJ178" s="2198"/>
      <c r="AK178" s="2198"/>
      <c r="AL178" s="2198"/>
      <c r="AM178" s="2198"/>
      <c r="AN178" s="2198"/>
      <c r="AO178" s="2198"/>
      <c r="AP178" s="2198"/>
      <c r="AQ178" s="2198"/>
      <c r="AR178" s="2198"/>
      <c r="AS178" s="2198"/>
      <c r="AT178" s="2198"/>
      <c r="AU178" s="2198"/>
      <c r="AV178" s="2198"/>
      <c r="AW178" s="2198"/>
      <c r="AX178" s="2198"/>
      <c r="AY178" s="2198"/>
      <c r="AZ178" s="2198"/>
      <c r="BA178" s="2198"/>
      <c r="BB178" s="2198"/>
      <c r="BC178" s="2198"/>
      <c r="BD178" s="2198"/>
      <c r="BE178" s="2198"/>
    </row>
    <row r="179" spans="1:57" ht="15.75" customHeight="1">
      <c r="A179" s="1208"/>
      <c r="B179" s="1208"/>
      <c r="C179" s="2071" t="s">
        <v>2266</v>
      </c>
      <c r="D179" s="2072"/>
      <c r="E179" s="2072"/>
      <c r="F179" s="2072"/>
      <c r="G179" s="2072"/>
      <c r="H179" s="2072"/>
      <c r="I179" s="2072"/>
      <c r="J179" s="2072"/>
      <c r="K179" s="2072"/>
      <c r="L179" s="2072"/>
      <c r="M179" s="2072"/>
      <c r="N179" s="2072" t="s">
        <v>2267</v>
      </c>
      <c r="O179" s="2072"/>
      <c r="P179" s="2072"/>
      <c r="Q179" s="2072"/>
      <c r="R179" s="2072"/>
      <c r="S179" s="2072"/>
      <c r="T179" s="2072"/>
      <c r="U179" s="2025" t="s">
        <v>2266</v>
      </c>
      <c r="V179" s="2025"/>
      <c r="W179" s="2025"/>
      <c r="X179" s="2025"/>
      <c r="Y179" s="2025"/>
      <c r="Z179" s="2025"/>
      <c r="AA179" s="2025"/>
      <c r="AB179" s="2025"/>
      <c r="AC179" s="2025"/>
      <c r="AD179" s="2025"/>
      <c r="AE179" s="2026"/>
      <c r="AF179" s="1208"/>
      <c r="AG179" s="1208"/>
      <c r="AH179" s="2198"/>
      <c r="AI179" s="2198"/>
      <c r="AJ179" s="2198"/>
      <c r="AK179" s="2198"/>
      <c r="AL179" s="2198"/>
      <c r="AM179" s="2198"/>
      <c r="AN179" s="2198"/>
      <c r="AO179" s="2198"/>
      <c r="AP179" s="2198"/>
      <c r="AQ179" s="2198"/>
      <c r="AR179" s="2198"/>
      <c r="AS179" s="2198"/>
      <c r="AT179" s="2198"/>
      <c r="AU179" s="2198"/>
      <c r="AV179" s="2198"/>
      <c r="AW179" s="2198"/>
      <c r="AX179" s="2198"/>
      <c r="AY179" s="2198"/>
      <c r="AZ179" s="2198"/>
      <c r="BA179" s="2198"/>
      <c r="BB179" s="2198"/>
      <c r="BC179" s="2198"/>
      <c r="BD179" s="2198"/>
      <c r="BE179" s="2198"/>
    </row>
    <row r="180" spans="1:57" ht="15.75" customHeight="1">
      <c r="A180" s="1208"/>
      <c r="B180" s="1208"/>
      <c r="C180" s="2185" t="s">
        <v>2265</v>
      </c>
      <c r="D180" s="2186"/>
      <c r="E180" s="2186"/>
      <c r="F180" s="2186"/>
      <c r="G180" s="2186"/>
      <c r="H180" s="2186"/>
      <c r="I180" s="2186"/>
      <c r="J180" s="2186"/>
      <c r="K180" s="2186"/>
      <c r="L180" s="2186"/>
      <c r="M180" s="2186"/>
      <c r="N180" s="2187">
        <f>'Sources and Uses Budget'!B105</f>
        <v>62606754</v>
      </c>
      <c r="O180" s="2187"/>
      <c r="P180" s="2187"/>
      <c r="Q180" s="2187"/>
      <c r="R180" s="2187"/>
      <c r="S180" s="2187"/>
      <c r="T180" s="2187"/>
      <c r="U180" s="2199"/>
      <c r="V180" s="2199"/>
      <c r="W180" s="2199"/>
      <c r="X180" s="2199"/>
      <c r="Y180" s="2199"/>
      <c r="Z180" s="2199"/>
      <c r="AA180" s="2199"/>
      <c r="AB180" s="2199"/>
      <c r="AC180" s="2199"/>
      <c r="AD180" s="2199"/>
      <c r="AE180" s="2200"/>
      <c r="AF180" s="1208"/>
      <c r="AG180" s="1208"/>
      <c r="AH180" s="2198"/>
      <c r="AI180" s="2198"/>
      <c r="AJ180" s="2198"/>
      <c r="AK180" s="2198"/>
      <c r="AL180" s="2198"/>
      <c r="AM180" s="2198"/>
      <c r="AN180" s="2198"/>
      <c r="AO180" s="2198"/>
      <c r="AP180" s="2198"/>
      <c r="AQ180" s="2198"/>
      <c r="AR180" s="2198"/>
      <c r="AS180" s="2198"/>
      <c r="AT180" s="2198"/>
      <c r="AU180" s="2198"/>
      <c r="AV180" s="2198"/>
      <c r="AW180" s="2198"/>
      <c r="AX180" s="2198"/>
      <c r="AY180" s="2198"/>
      <c r="AZ180" s="2198"/>
      <c r="BA180" s="2198"/>
      <c r="BB180" s="2198"/>
      <c r="BC180" s="2198"/>
      <c r="BD180" s="2198"/>
      <c r="BE180" s="2198"/>
    </row>
    <row r="181" spans="1:57" ht="15.75" customHeight="1">
      <c r="A181" s="1208"/>
      <c r="B181" s="1208"/>
      <c r="C181" s="2185" t="s">
        <v>2264</v>
      </c>
      <c r="D181" s="2186"/>
      <c r="E181" s="2186"/>
      <c r="F181" s="2186"/>
      <c r="G181" s="2186"/>
      <c r="H181" s="2186"/>
      <c r="I181" s="2186"/>
      <c r="J181" s="2186"/>
      <c r="K181" s="2186"/>
      <c r="L181" s="2186"/>
      <c r="M181" s="2186"/>
      <c r="N181" s="2187">
        <f>N180/J29</f>
        <v>306895.85294117645</v>
      </c>
      <c r="O181" s="2187"/>
      <c r="P181" s="2187"/>
      <c r="Q181" s="2187"/>
      <c r="R181" s="2187"/>
      <c r="S181" s="2187"/>
      <c r="T181" s="2187"/>
      <c r="U181" s="1248"/>
      <c r="V181" s="1248"/>
      <c r="W181" s="1248"/>
      <c r="X181" s="1248"/>
      <c r="Y181" s="1248"/>
      <c r="Z181" s="1248"/>
      <c r="AA181" s="1248"/>
      <c r="AB181" s="1248"/>
      <c r="AC181" s="1248"/>
      <c r="AD181" s="1248"/>
      <c r="AE181" s="1249"/>
      <c r="AF181" s="1208"/>
      <c r="AG181" s="1208"/>
      <c r="AH181" s="2198"/>
      <c r="AI181" s="2198"/>
      <c r="AJ181" s="2198"/>
      <c r="AK181" s="2198"/>
      <c r="AL181" s="2198"/>
      <c r="AM181" s="2198"/>
      <c r="AN181" s="2198"/>
      <c r="AO181" s="2198"/>
      <c r="AP181" s="2198"/>
      <c r="AQ181" s="2198"/>
      <c r="AR181" s="2198"/>
      <c r="AS181" s="2198"/>
      <c r="AT181" s="2198"/>
      <c r="AU181" s="2198"/>
      <c r="AV181" s="2198"/>
      <c r="AW181" s="2198"/>
      <c r="AX181" s="2198"/>
      <c r="AY181" s="2198"/>
      <c r="AZ181" s="2198"/>
      <c r="BA181" s="2198"/>
      <c r="BB181" s="2198"/>
      <c r="BC181" s="2198"/>
      <c r="BD181" s="2198"/>
      <c r="BE181" s="2198"/>
    </row>
    <row r="182" spans="1:57" ht="15.75" customHeight="1">
      <c r="A182" s="1208"/>
      <c r="B182" s="1208"/>
      <c r="C182" s="2201" t="s">
        <v>2263</v>
      </c>
      <c r="D182" s="2202"/>
      <c r="E182" s="2202"/>
      <c r="F182" s="2202"/>
      <c r="G182" s="2202"/>
      <c r="H182" s="2202"/>
      <c r="I182" s="2202"/>
      <c r="J182" s="2202"/>
      <c r="K182" s="2202"/>
      <c r="L182" s="2202"/>
      <c r="M182" s="2202"/>
      <c r="N182" s="2065">
        <v>0</v>
      </c>
      <c r="O182" s="2065"/>
      <c r="P182" s="2065"/>
      <c r="Q182" s="2065"/>
      <c r="R182" s="2065"/>
      <c r="S182" s="2065"/>
      <c r="T182" s="2065"/>
      <c r="U182" s="2043"/>
      <c r="V182" s="2043"/>
      <c r="W182" s="2043"/>
      <c r="X182" s="2043"/>
      <c r="Y182" s="2043"/>
      <c r="Z182" s="2043"/>
      <c r="AA182" s="2043"/>
      <c r="AB182" s="2043"/>
      <c r="AC182" s="2043"/>
      <c r="AD182" s="2043"/>
      <c r="AE182" s="2044"/>
      <c r="AF182" s="1208"/>
      <c r="AG182" s="1208"/>
      <c r="AH182" s="2198"/>
      <c r="AI182" s="2198"/>
      <c r="AJ182" s="2198"/>
      <c r="AK182" s="2198"/>
      <c r="AL182" s="2198"/>
      <c r="AM182" s="2198"/>
      <c r="AN182" s="2198"/>
      <c r="AO182" s="2198"/>
      <c r="AP182" s="2198"/>
      <c r="AQ182" s="2198"/>
      <c r="AR182" s="2198"/>
      <c r="AS182" s="2198"/>
      <c r="AT182" s="2198"/>
      <c r="AU182" s="2198"/>
      <c r="AV182" s="2198"/>
      <c r="AW182" s="2198"/>
      <c r="AX182" s="2198"/>
      <c r="AY182" s="2198"/>
      <c r="AZ182" s="2198"/>
      <c r="BA182" s="2198"/>
      <c r="BB182" s="2198"/>
      <c r="BC182" s="2198"/>
      <c r="BD182" s="2198"/>
      <c r="BE182" s="2198"/>
    </row>
    <row r="183" spans="1:57" ht="15.75" customHeight="1" thickBot="1">
      <c r="A183" s="1208"/>
      <c r="B183" s="1208"/>
      <c r="C183" s="2185" t="s">
        <v>2262</v>
      </c>
      <c r="D183" s="2186"/>
      <c r="E183" s="2186"/>
      <c r="F183" s="2186"/>
      <c r="G183" s="2186"/>
      <c r="H183" s="2186"/>
      <c r="I183" s="2186"/>
      <c r="J183" s="2186"/>
      <c r="K183" s="2186"/>
      <c r="L183" s="2186"/>
      <c r="M183" s="2186"/>
      <c r="N183" s="2203">
        <f>SUM('Sources and Uses Budget'!B85:B86)</f>
        <v>1300000</v>
      </c>
      <c r="O183" s="2203"/>
      <c r="P183" s="2203"/>
      <c r="Q183" s="2203"/>
      <c r="R183" s="2203"/>
      <c r="S183" s="2203"/>
      <c r="T183" s="2203"/>
      <c r="U183" s="2043"/>
      <c r="V183" s="2043"/>
      <c r="W183" s="2043"/>
      <c r="X183" s="2043"/>
      <c r="Y183" s="2043"/>
      <c r="Z183" s="2043"/>
      <c r="AA183" s="2043"/>
      <c r="AB183" s="2043"/>
      <c r="AC183" s="2043"/>
      <c r="AD183" s="2043"/>
      <c r="AE183" s="2044"/>
      <c r="AF183" s="1208"/>
      <c r="AG183" s="1208"/>
      <c r="AH183" s="2198"/>
      <c r="AI183" s="2198"/>
      <c r="AJ183" s="2198"/>
      <c r="AK183" s="2198"/>
      <c r="AL183" s="2198"/>
      <c r="AM183" s="2198"/>
      <c r="AN183" s="2198"/>
      <c r="AO183" s="2198"/>
      <c r="AP183" s="2198"/>
      <c r="AQ183" s="2198"/>
      <c r="AR183" s="2198"/>
      <c r="AS183" s="2198"/>
      <c r="AT183" s="2198"/>
      <c r="AU183" s="2198"/>
      <c r="AV183" s="2198"/>
      <c r="AW183" s="2198"/>
      <c r="AX183" s="2198"/>
      <c r="AY183" s="2198"/>
      <c r="AZ183" s="2198"/>
      <c r="BA183" s="2198"/>
      <c r="BB183" s="2198"/>
      <c r="BC183" s="2198"/>
      <c r="BD183" s="2198"/>
      <c r="BE183" s="2198"/>
    </row>
    <row r="184" spans="1:57" ht="15.75" customHeight="1" thickBot="1">
      <c r="A184" s="1208"/>
      <c r="B184" s="1208"/>
      <c r="C184" s="2185" t="s">
        <v>2261</v>
      </c>
      <c r="D184" s="2186"/>
      <c r="E184" s="2186"/>
      <c r="F184" s="2186"/>
      <c r="G184" s="2186"/>
      <c r="H184" s="2186"/>
      <c r="I184" s="2186"/>
      <c r="J184" s="2186"/>
      <c r="K184" s="2186"/>
      <c r="L184" s="2186"/>
      <c r="M184" s="2186"/>
      <c r="N184" s="2203">
        <f>'Sources and Uses Budget'!B8</f>
        <v>4990000</v>
      </c>
      <c r="O184" s="2203"/>
      <c r="P184" s="2203"/>
      <c r="Q184" s="2203"/>
      <c r="R184" s="2203"/>
      <c r="S184" s="2203"/>
      <c r="T184" s="2203"/>
      <c r="U184" s="2043"/>
      <c r="V184" s="2043"/>
      <c r="W184" s="2043"/>
      <c r="X184" s="2043"/>
      <c r="Y184" s="2043"/>
      <c r="Z184" s="2043"/>
      <c r="AA184" s="2043"/>
      <c r="AB184" s="2043"/>
      <c r="AC184" s="2043"/>
      <c r="AD184" s="2043"/>
      <c r="AE184" s="2044"/>
      <c r="AF184" s="1208"/>
      <c r="AG184" s="1208"/>
      <c r="AH184" s="2207" t="s">
        <v>2259</v>
      </c>
      <c r="AI184" s="2208"/>
      <c r="AJ184" s="2208"/>
      <c r="AK184" s="2208"/>
      <c r="AL184" s="2208"/>
      <c r="AM184" s="2208"/>
      <c r="AN184" s="2208"/>
      <c r="AO184" s="2208"/>
      <c r="AP184" s="2208"/>
      <c r="AQ184" s="2208"/>
      <c r="AR184" s="2208"/>
      <c r="AS184" s="2208"/>
      <c r="AT184" s="2208"/>
      <c r="AU184" s="2208"/>
      <c r="AV184" s="2208"/>
      <c r="AW184" s="2208"/>
      <c r="AX184" s="2208"/>
      <c r="AY184" s="2208"/>
      <c r="AZ184" s="2208"/>
      <c r="BA184" s="2208"/>
      <c r="BB184" s="2208"/>
      <c r="BC184" s="2208"/>
      <c r="BD184" s="2208"/>
      <c r="BE184" s="2209"/>
    </row>
    <row r="185" spans="1:57" ht="15.75" customHeight="1">
      <c r="A185" s="1208"/>
      <c r="B185" s="1208"/>
      <c r="C185" s="2185" t="s">
        <v>2260</v>
      </c>
      <c r="D185" s="2186"/>
      <c r="E185" s="2186"/>
      <c r="F185" s="2186"/>
      <c r="G185" s="2186"/>
      <c r="H185" s="2186"/>
      <c r="I185" s="2186"/>
      <c r="J185" s="2186"/>
      <c r="K185" s="2186"/>
      <c r="L185" s="2186"/>
      <c r="M185" s="2186"/>
      <c r="N185" s="2194">
        <v>0</v>
      </c>
      <c r="O185" s="2194"/>
      <c r="P185" s="2194"/>
      <c r="Q185" s="2194"/>
      <c r="R185" s="2194"/>
      <c r="S185" s="2194"/>
      <c r="T185" s="2194"/>
      <c r="U185" s="2043"/>
      <c r="V185" s="2043"/>
      <c r="W185" s="2043"/>
      <c r="X185" s="2043"/>
      <c r="Y185" s="2043"/>
      <c r="Z185" s="2043"/>
      <c r="AA185" s="2043"/>
      <c r="AB185" s="2043"/>
      <c r="AC185" s="2043"/>
      <c r="AD185" s="2043"/>
      <c r="AE185" s="2044"/>
      <c r="AF185" s="1208"/>
      <c r="AG185" s="1208"/>
      <c r="AH185" s="2210" t="s">
        <v>2259</v>
      </c>
      <c r="AI185" s="2211"/>
      <c r="AJ185" s="2211"/>
      <c r="AK185" s="2211"/>
      <c r="AL185" s="2211"/>
      <c r="AM185" s="2211"/>
      <c r="AN185" s="2211"/>
      <c r="AO185" s="2211"/>
      <c r="AP185" s="2211"/>
      <c r="AQ185" s="2211"/>
      <c r="AR185" s="2211"/>
      <c r="AS185" s="2211"/>
      <c r="AT185" s="2211"/>
      <c r="AU185" s="2212">
        <f>'Sources and Uses Budget'!I99</f>
        <v>3891687</v>
      </c>
      <c r="AV185" s="2212"/>
      <c r="AW185" s="2212"/>
      <c r="AX185" s="2212"/>
      <c r="AY185" s="2212"/>
      <c r="AZ185" s="2212"/>
      <c r="BA185" s="2212"/>
      <c r="BB185" s="2212"/>
      <c r="BC185" s="2213"/>
      <c r="BD185" s="2214"/>
      <c r="BE185" s="2215"/>
    </row>
    <row r="186" spans="1:57" ht="15.75" customHeight="1">
      <c r="A186" s="1208"/>
      <c r="B186" s="1208"/>
      <c r="C186" s="2185" t="s">
        <v>2258</v>
      </c>
      <c r="D186" s="2186"/>
      <c r="E186" s="2186"/>
      <c r="F186" s="2186"/>
      <c r="G186" s="2186"/>
      <c r="H186" s="2186"/>
      <c r="I186" s="2186"/>
      <c r="J186" s="2186"/>
      <c r="K186" s="2186"/>
      <c r="L186" s="2186"/>
      <c r="M186" s="2186"/>
      <c r="N186" s="2194">
        <v>0</v>
      </c>
      <c r="O186" s="2194"/>
      <c r="P186" s="2194"/>
      <c r="Q186" s="2194"/>
      <c r="R186" s="2194"/>
      <c r="S186" s="2194"/>
      <c r="T186" s="2194"/>
      <c r="U186" s="2043"/>
      <c r="V186" s="2043"/>
      <c r="W186" s="2043"/>
      <c r="X186" s="2043"/>
      <c r="Y186" s="2043"/>
      <c r="Z186" s="2043"/>
      <c r="AA186" s="2043"/>
      <c r="AB186" s="2043"/>
      <c r="AC186" s="2043"/>
      <c r="AD186" s="2043"/>
      <c r="AE186" s="2044"/>
      <c r="AF186" s="1208"/>
      <c r="AG186" s="1208"/>
      <c r="AH186" s="2195" t="s">
        <v>2257</v>
      </c>
      <c r="AI186" s="2196"/>
      <c r="AJ186" s="2196"/>
      <c r="AK186" s="2196"/>
      <c r="AL186" s="2196"/>
      <c r="AM186" s="2196"/>
      <c r="AN186" s="2196"/>
      <c r="AO186" s="2196"/>
      <c r="AP186" s="2196"/>
      <c r="AQ186" s="2196"/>
      <c r="AR186" s="2196"/>
      <c r="AS186" s="2196"/>
      <c r="AT186" s="2196"/>
      <c r="AU186" s="2197">
        <f>'Sources and Uses Budget'!E99</f>
        <v>2931692</v>
      </c>
      <c r="AV186" s="2197"/>
      <c r="AW186" s="2197"/>
      <c r="AX186" s="2197"/>
      <c r="AY186" s="2197"/>
      <c r="AZ186" s="2197"/>
      <c r="BA186" s="2197"/>
      <c r="BB186" s="2197"/>
      <c r="BC186" s="2204"/>
      <c r="BD186" s="2205"/>
      <c r="BE186" s="2206"/>
    </row>
    <row r="187" spans="1:57" ht="15.75" customHeight="1">
      <c r="A187" s="1208"/>
      <c r="B187" s="1208"/>
      <c r="C187" s="2220" t="s">
        <v>300</v>
      </c>
      <c r="D187" s="2163"/>
      <c r="E187" s="2216" t="s">
        <v>2255</v>
      </c>
      <c r="F187" s="2216"/>
      <c r="G187" s="2216"/>
      <c r="H187" s="2216"/>
      <c r="I187" s="2216"/>
      <c r="J187" s="2216"/>
      <c r="K187" s="2216"/>
      <c r="L187" s="2216"/>
      <c r="M187" s="2216"/>
      <c r="N187" s="2194">
        <v>0</v>
      </c>
      <c r="O187" s="2194"/>
      <c r="P187" s="2194"/>
      <c r="Q187" s="2194"/>
      <c r="R187" s="2194"/>
      <c r="S187" s="2194"/>
      <c r="T187" s="2194"/>
      <c r="U187" s="2043"/>
      <c r="V187" s="2043"/>
      <c r="W187" s="2043"/>
      <c r="X187" s="2043"/>
      <c r="Y187" s="2043"/>
      <c r="Z187" s="2043"/>
      <c r="AA187" s="2043"/>
      <c r="AB187" s="2043"/>
      <c r="AC187" s="2043"/>
      <c r="AD187" s="2043"/>
      <c r="AE187" s="2044"/>
      <c r="AF187" s="1208"/>
      <c r="AG187" s="1208"/>
      <c r="AH187" s="2221" t="s">
        <v>2256</v>
      </c>
      <c r="AI187" s="2222"/>
      <c r="AJ187" s="2222"/>
      <c r="AK187" s="2222"/>
      <c r="AL187" s="2222"/>
      <c r="AM187" s="2222"/>
      <c r="AN187" s="2222"/>
      <c r="AO187" s="2222"/>
      <c r="AP187" s="2222"/>
      <c r="AQ187" s="2222"/>
      <c r="AR187" s="2222"/>
      <c r="AS187" s="2222"/>
      <c r="AT187" s="2222"/>
      <c r="AU187" s="2223">
        <f>SUM(AU185:BB186)</f>
        <v>6823379</v>
      </c>
      <c r="AV187" s="2223"/>
      <c r="AW187" s="2223"/>
      <c r="AX187" s="2223"/>
      <c r="AY187" s="2223"/>
      <c r="AZ187" s="2223"/>
      <c r="BA187" s="2223"/>
      <c r="BB187" s="2223"/>
      <c r="BC187" s="2204"/>
      <c r="BD187" s="2205"/>
      <c r="BE187" s="2206"/>
    </row>
    <row r="188" spans="1:57" ht="15.75" customHeight="1" thickBot="1">
      <c r="A188" s="1208"/>
      <c r="B188" s="1208"/>
      <c r="C188" s="2081" t="s">
        <v>300</v>
      </c>
      <c r="D188" s="2031"/>
      <c r="E188" s="2216" t="s">
        <v>2255</v>
      </c>
      <c r="F188" s="2216"/>
      <c r="G188" s="2216"/>
      <c r="H188" s="2216"/>
      <c r="I188" s="2216"/>
      <c r="J188" s="2216"/>
      <c r="K188" s="2216"/>
      <c r="L188" s="2216"/>
      <c r="M188" s="2216"/>
      <c r="N188" s="2194">
        <v>0</v>
      </c>
      <c r="O188" s="2194"/>
      <c r="P188" s="2194"/>
      <c r="Q188" s="2194"/>
      <c r="R188" s="2194"/>
      <c r="S188" s="2194"/>
      <c r="T188" s="2194"/>
      <c r="U188" s="2043"/>
      <c r="V188" s="2043"/>
      <c r="W188" s="2043"/>
      <c r="X188" s="2043"/>
      <c r="Y188" s="2043"/>
      <c r="Z188" s="2043"/>
      <c r="AA188" s="2043"/>
      <c r="AB188" s="2043"/>
      <c r="AC188" s="2043"/>
      <c r="AD188" s="2043"/>
      <c r="AE188" s="2044"/>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17"/>
      <c r="BD188" s="2218"/>
      <c r="BE188" s="2219"/>
    </row>
    <row r="189" spans="1:57" ht="15.75" customHeight="1" thickBot="1">
      <c r="A189" s="1208"/>
      <c r="B189" s="1208"/>
      <c r="C189" s="2241" t="s">
        <v>300</v>
      </c>
      <c r="D189" s="2242"/>
      <c r="E189" s="2243" t="s">
        <v>2255</v>
      </c>
      <c r="F189" s="2243"/>
      <c r="G189" s="2243"/>
      <c r="H189" s="2243"/>
      <c r="I189" s="2243"/>
      <c r="J189" s="2243"/>
      <c r="K189" s="2243"/>
      <c r="L189" s="2243"/>
      <c r="M189" s="2244"/>
      <c r="N189" s="2245">
        <v>0</v>
      </c>
      <c r="O189" s="2245"/>
      <c r="P189" s="2245"/>
      <c r="Q189" s="2245"/>
      <c r="R189" s="2245"/>
      <c r="S189" s="2245"/>
      <c r="T189" s="2246"/>
      <c r="U189" s="2247"/>
      <c r="V189" s="2248"/>
      <c r="W189" s="2248"/>
      <c r="X189" s="2248"/>
      <c r="Y189" s="2248"/>
      <c r="Z189" s="2248"/>
      <c r="AA189" s="2248"/>
      <c r="AB189" s="2248"/>
      <c r="AC189" s="2248"/>
      <c r="AD189" s="2248"/>
      <c r="AE189" s="2249"/>
      <c r="AF189" s="1208"/>
      <c r="AG189" s="1208"/>
      <c r="AH189" s="2250" t="s">
        <v>2254</v>
      </c>
      <c r="AI189" s="2251"/>
      <c r="AJ189" s="2251"/>
      <c r="AK189" s="2251"/>
      <c r="AL189" s="2251"/>
      <c r="AM189" s="2251"/>
      <c r="AN189" s="2251"/>
      <c r="AO189" s="2251"/>
      <c r="AP189" s="2251"/>
      <c r="AQ189" s="2251"/>
      <c r="AR189" s="2251"/>
      <c r="AS189" s="2251"/>
      <c r="AT189" s="2251"/>
      <c r="AU189" s="2252"/>
      <c r="AV189" s="2252"/>
      <c r="AW189" s="2252"/>
      <c r="AX189" s="2252"/>
      <c r="AY189" s="2252"/>
      <c r="AZ189" s="2252"/>
      <c r="BA189" s="2252"/>
      <c r="BB189" s="2252"/>
      <c r="BC189" s="1164"/>
      <c r="BD189" s="1164"/>
      <c r="BE189" s="1252"/>
    </row>
    <row r="190" spans="1:57" ht="15.75" customHeight="1">
      <c r="A190" s="1208"/>
      <c r="B190" s="1208"/>
      <c r="C190" s="2224" t="s">
        <v>2253</v>
      </c>
      <c r="D190" s="2225"/>
      <c r="E190" s="2225"/>
      <c r="F190" s="2225"/>
      <c r="G190" s="2225"/>
      <c r="H190" s="2225"/>
      <c r="I190" s="2225"/>
      <c r="J190" s="2225"/>
      <c r="K190" s="2225"/>
      <c r="L190" s="2225"/>
      <c r="M190" s="2225"/>
      <c r="N190" s="2226">
        <f>SUM(N182:T189)</f>
        <v>6290000</v>
      </c>
      <c r="O190" s="2226"/>
      <c r="P190" s="2226"/>
      <c r="Q190" s="2226"/>
      <c r="R190" s="2226"/>
      <c r="S190" s="2226"/>
      <c r="T190" s="2227"/>
      <c r="U190" s="1208"/>
      <c r="V190" s="1208"/>
      <c r="W190" s="1208"/>
      <c r="X190" s="1208"/>
      <c r="Y190" s="1208"/>
      <c r="Z190" s="1208"/>
      <c r="AA190" s="1208"/>
      <c r="AB190" s="1208"/>
      <c r="AC190" s="1208"/>
      <c r="AD190" s="1208"/>
      <c r="AE190" s="1208"/>
      <c r="AF190" s="1208"/>
      <c r="AG190" s="1208"/>
      <c r="AH190" s="2228" t="s">
        <v>2252</v>
      </c>
      <c r="AI190" s="2229"/>
      <c r="AJ190" s="2229"/>
      <c r="AK190" s="2229"/>
      <c r="AL190" s="2229"/>
      <c r="AM190" s="2229"/>
      <c r="AN190" s="2229"/>
      <c r="AO190" s="2229"/>
      <c r="AP190" s="2229"/>
      <c r="AQ190" s="2229"/>
      <c r="AR190" s="2229"/>
      <c r="AS190" s="2229"/>
      <c r="AT190" s="2229"/>
      <c r="AU190" s="2229"/>
      <c r="AV190" s="2229"/>
      <c r="AW190" s="2229"/>
      <c r="AX190" s="2229"/>
      <c r="AY190" s="2229"/>
      <c r="AZ190" s="2229"/>
      <c r="BA190" s="2229"/>
      <c r="BB190" s="2229"/>
      <c r="BC190" s="2229"/>
      <c r="BD190" s="2229"/>
      <c r="BE190" s="2230"/>
    </row>
    <row r="191" spans="1:57" ht="15.75" customHeight="1" thickBot="1">
      <c r="A191" s="1208"/>
      <c r="B191" s="1208"/>
      <c r="C191" s="2234" t="s">
        <v>2251</v>
      </c>
      <c r="D191" s="2235"/>
      <c r="E191" s="2235"/>
      <c r="F191" s="2235"/>
      <c r="G191" s="2235"/>
      <c r="H191" s="2235"/>
      <c r="I191" s="2235"/>
      <c r="J191" s="2235"/>
      <c r="K191" s="2235"/>
      <c r="L191" s="2235"/>
      <c r="M191" s="2235"/>
      <c r="N191" s="2236">
        <f>(N180-N190)/J29</f>
        <v>276062.51960784313</v>
      </c>
      <c r="O191" s="2237"/>
      <c r="P191" s="2237"/>
      <c r="Q191" s="2237"/>
      <c r="R191" s="2237"/>
      <c r="S191" s="2237"/>
      <c r="T191" s="2238"/>
      <c r="U191" s="1216"/>
      <c r="V191" s="1208"/>
      <c r="W191" s="1208"/>
      <c r="X191" s="1208"/>
      <c r="Y191" s="1208"/>
      <c r="Z191" s="1208"/>
      <c r="AA191" s="1208"/>
      <c r="AB191" s="1208"/>
      <c r="AC191" s="1208"/>
      <c r="AD191" s="1208"/>
      <c r="AE191" s="1208"/>
      <c r="AF191" s="1208"/>
      <c r="AG191" s="1208"/>
      <c r="AH191" s="2231"/>
      <c r="AI191" s="2232"/>
      <c r="AJ191" s="2232"/>
      <c r="AK191" s="2232"/>
      <c r="AL191" s="2232"/>
      <c r="AM191" s="2232"/>
      <c r="AN191" s="2232"/>
      <c r="AO191" s="2232"/>
      <c r="AP191" s="2232"/>
      <c r="AQ191" s="2232"/>
      <c r="AR191" s="2232"/>
      <c r="AS191" s="2232"/>
      <c r="AT191" s="2232"/>
      <c r="AU191" s="2232"/>
      <c r="AV191" s="2232"/>
      <c r="AW191" s="2232"/>
      <c r="AX191" s="2232"/>
      <c r="AY191" s="2232"/>
      <c r="AZ191" s="2232"/>
      <c r="BA191" s="2232"/>
      <c r="BB191" s="2232"/>
      <c r="BC191" s="2232"/>
      <c r="BD191" s="2232"/>
      <c r="BE191" s="2233"/>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39"/>
      <c r="AI192" s="2239"/>
      <c r="AJ192" s="2239"/>
      <c r="AK192" s="2239"/>
      <c r="AL192" s="2239"/>
      <c r="AM192" s="2239"/>
      <c r="AN192" s="2239"/>
      <c r="AO192" s="2239"/>
      <c r="AP192" s="2239"/>
      <c r="AQ192" s="2239"/>
      <c r="AR192" s="2239"/>
      <c r="AS192" s="2240"/>
      <c r="AT192" s="2240"/>
      <c r="AU192" s="2240"/>
      <c r="AV192" s="2240"/>
      <c r="AW192" s="2240"/>
      <c r="AX192" s="2240"/>
      <c r="AY192" s="2240"/>
      <c r="AZ192" s="2240"/>
      <c r="BA192" s="2240"/>
      <c r="BB192" s="2240"/>
      <c r="BC192" s="2240"/>
      <c r="BD192" s="2240"/>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58" t="s">
        <v>2250</v>
      </c>
      <c r="D194" s="2259"/>
      <c r="E194" s="2259"/>
      <c r="F194" s="2259"/>
      <c r="G194" s="2259"/>
      <c r="H194" s="2259"/>
      <c r="I194" s="2259"/>
      <c r="J194" s="2259"/>
      <c r="K194" s="2259"/>
      <c r="L194" s="2259"/>
      <c r="M194" s="2259"/>
      <c r="N194" s="2259"/>
      <c r="O194" s="2259"/>
      <c r="P194" s="2259"/>
      <c r="Q194" s="2259"/>
      <c r="R194" s="2259"/>
      <c r="S194" s="2259"/>
      <c r="T194" s="2259"/>
      <c r="U194" s="2259"/>
      <c r="V194" s="2259"/>
      <c r="W194" s="2259"/>
      <c r="X194" s="2259"/>
      <c r="Y194" s="2259"/>
      <c r="Z194" s="2259"/>
      <c r="AA194" s="2259"/>
      <c r="AB194" s="2259"/>
      <c r="AC194" s="2259"/>
      <c r="AD194" s="2259"/>
      <c r="AE194" s="2260"/>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61" t="s">
        <v>2249</v>
      </c>
      <c r="D195" s="2261"/>
      <c r="E195" s="2261"/>
      <c r="F195" s="2261"/>
      <c r="G195" s="2261"/>
      <c r="H195" s="2261"/>
      <c r="I195" s="2261"/>
      <c r="J195" s="2261"/>
      <c r="K195" s="2261"/>
      <c r="L195" s="2261"/>
      <c r="M195" s="2261"/>
      <c r="N195" s="2261"/>
      <c r="O195" s="2262" t="s">
        <v>2248</v>
      </c>
      <c r="P195" s="2262"/>
      <c r="Q195" s="2262"/>
      <c r="R195" s="2262"/>
      <c r="S195" s="2262"/>
      <c r="T195" s="2262"/>
      <c r="U195" s="2262"/>
      <c r="V195" s="2262"/>
      <c r="W195" s="2262"/>
      <c r="X195" s="2262" t="s">
        <v>2247</v>
      </c>
      <c r="Y195" s="2262"/>
      <c r="Z195" s="2262"/>
      <c r="AA195" s="2262"/>
      <c r="AB195" s="2262"/>
      <c r="AC195" s="2262"/>
      <c r="AD195" s="2262"/>
      <c r="AE195" s="2262"/>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53" t="s">
        <v>2246</v>
      </c>
      <c r="D196" s="2253"/>
      <c r="E196" s="2253"/>
      <c r="F196" s="2253"/>
      <c r="G196" s="2253"/>
      <c r="H196" s="2253"/>
      <c r="I196" s="2253"/>
      <c r="J196" s="2253"/>
      <c r="K196" s="2253"/>
      <c r="L196" s="2253"/>
      <c r="M196" s="2253"/>
      <c r="N196" s="2253"/>
      <c r="O196" s="2254">
        <v>7500</v>
      </c>
      <c r="P196" s="2254"/>
      <c r="Q196" s="2254"/>
      <c r="R196" s="2254"/>
      <c r="S196" s="2254"/>
      <c r="T196" s="2254"/>
      <c r="U196" s="2254"/>
      <c r="V196" s="2254"/>
      <c r="W196" s="2254"/>
      <c r="X196" s="2255">
        <v>0.03</v>
      </c>
      <c r="Y196" s="2255"/>
      <c r="Z196" s="2255"/>
      <c r="AA196" s="2255"/>
      <c r="AB196" s="2255"/>
      <c r="AC196" s="2255"/>
      <c r="AD196" s="2255"/>
      <c r="AE196" s="2255"/>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53" t="s">
        <v>853</v>
      </c>
      <c r="D197" s="2253"/>
      <c r="E197" s="2253"/>
      <c r="F197" s="2253"/>
      <c r="G197" s="2253"/>
      <c r="H197" s="2253"/>
      <c r="I197" s="2253"/>
      <c r="J197" s="2253"/>
      <c r="K197" s="2253"/>
      <c r="L197" s="2253"/>
      <c r="M197" s="2253"/>
      <c r="N197" s="2253"/>
      <c r="O197" s="2254">
        <v>25000</v>
      </c>
      <c r="P197" s="2254"/>
      <c r="Q197" s="2254"/>
      <c r="R197" s="2254"/>
      <c r="S197" s="2254"/>
      <c r="T197" s="2254"/>
      <c r="U197" s="2254"/>
      <c r="V197" s="2254"/>
      <c r="W197" s="2254"/>
      <c r="X197" s="2255">
        <v>0.03</v>
      </c>
      <c r="Y197" s="2255"/>
      <c r="Z197" s="2255"/>
      <c r="AA197" s="2255"/>
      <c r="AB197" s="2255"/>
      <c r="AC197" s="2255"/>
      <c r="AD197" s="2255"/>
      <c r="AE197" s="2255"/>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53" t="s">
        <v>2245</v>
      </c>
      <c r="D198" s="2253"/>
      <c r="E198" s="2253"/>
      <c r="F198" s="2253"/>
      <c r="G198" s="2253"/>
      <c r="H198" s="2253"/>
      <c r="I198" s="2253"/>
      <c r="J198" s="2253"/>
      <c r="K198" s="2253"/>
      <c r="L198" s="2253"/>
      <c r="M198" s="2253"/>
      <c r="N198" s="2253"/>
      <c r="O198" s="2256">
        <f>SUM(O196:W197)</f>
        <v>32500</v>
      </c>
      <c r="P198" s="2257"/>
      <c r="Q198" s="2257"/>
      <c r="R198" s="2257"/>
      <c r="S198" s="2257"/>
      <c r="T198" s="2257"/>
      <c r="U198" s="2257"/>
      <c r="V198" s="2257"/>
      <c r="W198" s="2257"/>
      <c r="X198" s="2257" t="s">
        <v>2244</v>
      </c>
      <c r="Y198" s="2257"/>
      <c r="Z198" s="2257"/>
      <c r="AA198" s="2257"/>
      <c r="AB198" s="2257"/>
      <c r="AC198" s="2257"/>
      <c r="AD198" s="2257"/>
      <c r="AE198" s="2257"/>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63" t="s">
        <v>2243</v>
      </c>
      <c r="D199" s="2263"/>
      <c r="E199" s="2263"/>
      <c r="F199" s="2263"/>
      <c r="G199" s="2263"/>
      <c r="H199" s="2263"/>
      <c r="I199" s="2263"/>
      <c r="J199" s="2263"/>
      <c r="K199" s="2263"/>
      <c r="L199" s="2263"/>
      <c r="M199" s="2263"/>
      <c r="N199" s="2263"/>
      <c r="O199" s="2263"/>
      <c r="P199" s="2263"/>
      <c r="Q199" s="2263"/>
      <c r="R199" s="2263"/>
      <c r="S199" s="2263"/>
      <c r="T199" s="2263"/>
      <c r="U199" s="2263"/>
      <c r="V199" s="2263"/>
      <c r="W199" s="2263"/>
      <c r="X199" s="2263"/>
      <c r="Y199" s="2263"/>
      <c r="Z199" s="2263"/>
      <c r="AA199" s="2263"/>
      <c r="AB199" s="2263"/>
      <c r="AC199" s="2263"/>
      <c r="AD199" s="2263"/>
      <c r="AE199" s="2263"/>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64" t="s">
        <v>2242</v>
      </c>
      <c r="D201" s="2265"/>
      <c r="E201" s="2265"/>
      <c r="F201" s="2265"/>
      <c r="G201" s="2265"/>
      <c r="H201" s="2265"/>
      <c r="I201" s="2265"/>
      <c r="J201" s="2265"/>
      <c r="K201" s="2265"/>
      <c r="L201" s="2265"/>
      <c r="M201" s="2265"/>
      <c r="N201" s="2265"/>
      <c r="O201" s="2265"/>
      <c r="P201" s="2265"/>
      <c r="Q201" s="2265"/>
      <c r="R201" s="2265"/>
      <c r="S201" s="2265"/>
      <c r="T201" s="2265"/>
      <c r="U201" s="2265"/>
      <c r="V201" s="2265"/>
      <c r="W201" s="2265"/>
      <c r="X201" s="2265"/>
      <c r="Y201" s="2265"/>
      <c r="Z201" s="2265"/>
      <c r="AA201" s="2265"/>
      <c r="AB201" s="2265"/>
      <c r="AC201" s="2265"/>
      <c r="AD201" s="2265"/>
      <c r="AE201" s="2265"/>
      <c r="AF201" s="2265"/>
      <c r="AG201" s="2265"/>
      <c r="AH201" s="2265"/>
      <c r="AI201" s="2265"/>
      <c r="AJ201" s="2265"/>
      <c r="AK201" s="2266"/>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67" t="s">
        <v>2241</v>
      </c>
      <c r="D202" s="2268"/>
      <c r="E202" s="2268"/>
      <c r="F202" s="2269"/>
      <c r="G202" s="2273" t="s">
        <v>2240</v>
      </c>
      <c r="H202" s="2268"/>
      <c r="I202" s="2268"/>
      <c r="J202" s="2268"/>
      <c r="K202" s="2268"/>
      <c r="L202" s="2268"/>
      <c r="M202" s="2268"/>
      <c r="N202" s="2268"/>
      <c r="O202" s="2269"/>
      <c r="P202" s="2275" t="s">
        <v>2239</v>
      </c>
      <c r="Q202" s="2276"/>
      <c r="R202" s="2276"/>
      <c r="S202" s="2276"/>
      <c r="T202" s="2277"/>
      <c r="U202" s="2281" t="s">
        <v>2238</v>
      </c>
      <c r="V202" s="2282"/>
      <c r="W202" s="2282"/>
      <c r="X202" s="2283"/>
      <c r="Y202" s="2281" t="s">
        <v>2237</v>
      </c>
      <c r="Z202" s="2282"/>
      <c r="AA202" s="2282"/>
      <c r="AB202" s="2283"/>
      <c r="AC202" s="2281" t="s">
        <v>2236</v>
      </c>
      <c r="AD202" s="2282"/>
      <c r="AE202" s="2282"/>
      <c r="AF202" s="2283"/>
      <c r="AG202" s="2273" t="s">
        <v>2235</v>
      </c>
      <c r="AH202" s="2268"/>
      <c r="AI202" s="2268"/>
      <c r="AJ202" s="2268"/>
      <c r="AK202" s="2287"/>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70"/>
      <c r="D203" s="2271"/>
      <c r="E203" s="2271"/>
      <c r="F203" s="2272"/>
      <c r="G203" s="2274"/>
      <c r="H203" s="2271"/>
      <c r="I203" s="2271"/>
      <c r="J203" s="2271"/>
      <c r="K203" s="2271"/>
      <c r="L203" s="2271"/>
      <c r="M203" s="2271"/>
      <c r="N203" s="2271"/>
      <c r="O203" s="2272"/>
      <c r="P203" s="2278"/>
      <c r="Q203" s="2279"/>
      <c r="R203" s="2279"/>
      <c r="S203" s="2279"/>
      <c r="T203" s="2280"/>
      <c r="U203" s="2284"/>
      <c r="V203" s="2285"/>
      <c r="W203" s="2285"/>
      <c r="X203" s="2286"/>
      <c r="Y203" s="2284"/>
      <c r="Z203" s="2285"/>
      <c r="AA203" s="2285"/>
      <c r="AB203" s="2286"/>
      <c r="AC203" s="2284"/>
      <c r="AD203" s="2285"/>
      <c r="AE203" s="2285"/>
      <c r="AF203" s="2286"/>
      <c r="AG203" s="2274"/>
      <c r="AH203" s="2271"/>
      <c r="AI203" s="2271"/>
      <c r="AJ203" s="2271"/>
      <c r="AK203" s="2288"/>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92">
        <v>1</v>
      </c>
      <c r="D204" s="2293"/>
      <c r="E204" s="2293"/>
      <c r="F204" s="2293"/>
      <c r="G204" s="2294" t="s">
        <v>2706</v>
      </c>
      <c r="H204" s="2294"/>
      <c r="I204" s="2294"/>
      <c r="J204" s="2294"/>
      <c r="K204" s="2294"/>
      <c r="L204" s="2294"/>
      <c r="M204" s="2294"/>
      <c r="N204" s="2294"/>
      <c r="O204" s="2294"/>
      <c r="P204" s="2295">
        <v>46419</v>
      </c>
      <c r="Q204" s="2298"/>
      <c r="R204" s="2298"/>
      <c r="S204" s="2298"/>
      <c r="T204" s="2298"/>
      <c r="U204" s="2296">
        <f>4460769</f>
        <v>4460769</v>
      </c>
      <c r="V204" s="2296"/>
      <c r="W204" s="2296"/>
      <c r="X204" s="2296"/>
      <c r="Y204" s="2296">
        <v>500000</v>
      </c>
      <c r="Z204" s="2296"/>
      <c r="AA204" s="2296"/>
      <c r="AB204" s="2296"/>
      <c r="AC204" s="2297">
        <v>0.03</v>
      </c>
      <c r="AD204" s="2297"/>
      <c r="AE204" s="2297"/>
      <c r="AF204" s="2297"/>
      <c r="AG204" s="2289" t="s">
        <v>2752</v>
      </c>
      <c r="AH204" s="2290"/>
      <c r="AI204" s="2290"/>
      <c r="AJ204" s="2290"/>
      <c r="AK204" s="229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92">
        <v>2</v>
      </c>
      <c r="D205" s="2293"/>
      <c r="E205" s="2293"/>
      <c r="F205" s="2293"/>
      <c r="G205" s="2294" t="s">
        <v>2707</v>
      </c>
      <c r="H205" s="2294"/>
      <c r="I205" s="2294"/>
      <c r="J205" s="2294"/>
      <c r="K205" s="2294"/>
      <c r="L205" s="2294"/>
      <c r="M205" s="2294"/>
      <c r="N205" s="2294"/>
      <c r="O205" s="2294"/>
      <c r="P205" s="2295">
        <v>47150</v>
      </c>
      <c r="Q205" s="2295"/>
      <c r="R205" s="2295"/>
      <c r="S205" s="2295"/>
      <c r="T205" s="2295"/>
      <c r="U205" s="2296">
        <v>4460769</v>
      </c>
      <c r="V205" s="2296"/>
      <c r="W205" s="2296"/>
      <c r="X205" s="2296"/>
      <c r="Y205" s="2296">
        <v>150000</v>
      </c>
      <c r="Z205" s="2296"/>
      <c r="AA205" s="2296"/>
      <c r="AB205" s="2296"/>
      <c r="AC205" s="2297">
        <v>0.03</v>
      </c>
      <c r="AD205" s="2297"/>
      <c r="AE205" s="2297"/>
      <c r="AF205" s="2297"/>
      <c r="AG205" s="2289" t="s">
        <v>2752</v>
      </c>
      <c r="AH205" s="2290"/>
      <c r="AI205" s="2290"/>
      <c r="AJ205" s="2290"/>
      <c r="AK205" s="229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92">
        <v>3</v>
      </c>
      <c r="D206" s="2293"/>
      <c r="E206" s="2293"/>
      <c r="F206" s="2293"/>
      <c r="G206" s="2294" t="s">
        <v>2708</v>
      </c>
      <c r="H206" s="2294"/>
      <c r="I206" s="2294"/>
      <c r="J206" s="2294"/>
      <c r="K206" s="2294"/>
      <c r="L206" s="2294"/>
      <c r="M206" s="2294"/>
      <c r="N206" s="2294"/>
      <c r="O206" s="2294"/>
      <c r="P206" s="2295">
        <v>47300</v>
      </c>
      <c r="Q206" s="2295"/>
      <c r="R206" s="2295"/>
      <c r="S206" s="2295"/>
      <c r="T206" s="2295"/>
      <c r="U206" s="2296">
        <v>13032306</v>
      </c>
      <c r="V206" s="2296"/>
      <c r="W206" s="2296"/>
      <c r="X206" s="2296"/>
      <c r="Y206" s="2296">
        <v>1931693</v>
      </c>
      <c r="Z206" s="2296"/>
      <c r="AA206" s="2296"/>
      <c r="AB206" s="2296"/>
      <c r="AC206" s="2297">
        <v>0.02</v>
      </c>
      <c r="AD206" s="2297"/>
      <c r="AE206" s="2297"/>
      <c r="AF206" s="2297"/>
      <c r="AG206" s="2289" t="s">
        <v>2752</v>
      </c>
      <c r="AH206" s="2290"/>
      <c r="AI206" s="2290"/>
      <c r="AJ206" s="2290"/>
      <c r="AK206" s="229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92">
        <v>4</v>
      </c>
      <c r="D207" s="2293"/>
      <c r="E207" s="2293"/>
      <c r="F207" s="2293"/>
      <c r="G207" s="2294" t="s">
        <v>2709</v>
      </c>
      <c r="H207" s="2294"/>
      <c r="I207" s="2294"/>
      <c r="J207" s="2294"/>
      <c r="K207" s="2294"/>
      <c r="L207" s="2294"/>
      <c r="M207" s="2294"/>
      <c r="N207" s="2294"/>
      <c r="O207" s="2294"/>
      <c r="P207" s="2295">
        <v>47392</v>
      </c>
      <c r="Q207" s="2295"/>
      <c r="R207" s="2295"/>
      <c r="S207" s="2295"/>
      <c r="T207" s="2295"/>
      <c r="U207" s="2296">
        <v>350000</v>
      </c>
      <c r="V207" s="2296"/>
      <c r="W207" s="2296"/>
      <c r="X207" s="2296"/>
      <c r="Y207" s="2296">
        <v>4241686</v>
      </c>
      <c r="Z207" s="2296"/>
      <c r="AA207" s="2296"/>
      <c r="AB207" s="2296"/>
      <c r="AC207" s="2297">
        <v>0.92</v>
      </c>
      <c r="AD207" s="2297"/>
      <c r="AE207" s="2297"/>
      <c r="AF207" s="2297"/>
      <c r="AG207" s="2289" t="s">
        <v>2715</v>
      </c>
      <c r="AH207" s="2290"/>
      <c r="AI207" s="2290"/>
      <c r="AJ207" s="2290"/>
      <c r="AK207" s="2291"/>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92">
        <v>5</v>
      </c>
      <c r="D208" s="2293"/>
      <c r="E208" s="2293"/>
      <c r="F208" s="2293"/>
      <c r="G208" s="2294" t="s">
        <v>1857</v>
      </c>
      <c r="H208" s="2294"/>
      <c r="I208" s="2294"/>
      <c r="J208" s="2294"/>
      <c r="K208" s="2294"/>
      <c r="L208" s="2294"/>
      <c r="M208" s="2294"/>
      <c r="N208" s="2294"/>
      <c r="O208" s="2294"/>
      <c r="P208" s="2295"/>
      <c r="Q208" s="2295"/>
      <c r="R208" s="2295"/>
      <c r="S208" s="2295"/>
      <c r="T208" s="2295"/>
      <c r="U208" s="2296" t="s">
        <v>1857</v>
      </c>
      <c r="V208" s="2296"/>
      <c r="W208" s="2296"/>
      <c r="X208" s="2296"/>
      <c r="Y208" s="2296" t="s">
        <v>1857</v>
      </c>
      <c r="Z208" s="2296"/>
      <c r="AA208" s="2296"/>
      <c r="AB208" s="2296"/>
      <c r="AC208" s="2297" t="s">
        <v>1857</v>
      </c>
      <c r="AD208" s="2297"/>
      <c r="AE208" s="2297"/>
      <c r="AF208" s="2297"/>
      <c r="AG208" s="2289"/>
      <c r="AH208" s="2290"/>
      <c r="AI208" s="2290"/>
      <c r="AJ208" s="2290"/>
      <c r="AK208" s="2291"/>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92">
        <v>6</v>
      </c>
      <c r="D209" s="2293"/>
      <c r="E209" s="2293"/>
      <c r="F209" s="2293"/>
      <c r="G209" s="2294" t="s">
        <v>1857</v>
      </c>
      <c r="H209" s="2294"/>
      <c r="I209" s="2294"/>
      <c r="J209" s="2294"/>
      <c r="K209" s="2294"/>
      <c r="L209" s="2294"/>
      <c r="M209" s="2294"/>
      <c r="N209" s="2294"/>
      <c r="O209" s="2294"/>
      <c r="P209" s="2295"/>
      <c r="Q209" s="2295"/>
      <c r="R209" s="2295"/>
      <c r="S209" s="2295"/>
      <c r="T209" s="2295"/>
      <c r="U209" s="2296"/>
      <c r="V209" s="2296"/>
      <c r="W209" s="2296"/>
      <c r="X209" s="2296"/>
      <c r="Y209" s="2296"/>
      <c r="Z209" s="2296"/>
      <c r="AA209" s="2296"/>
      <c r="AB209" s="2296"/>
      <c r="AC209" s="2297" t="s">
        <v>1857</v>
      </c>
      <c r="AD209" s="2297"/>
      <c r="AE209" s="2297"/>
      <c r="AF209" s="2297"/>
      <c r="AG209" s="2289"/>
      <c r="AH209" s="2290"/>
      <c r="AI209" s="2290"/>
      <c r="AJ209" s="2290"/>
      <c r="AK209" s="2291"/>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92">
        <v>7</v>
      </c>
      <c r="D210" s="2293"/>
      <c r="E210" s="2293"/>
      <c r="F210" s="2293"/>
      <c r="G210" s="2294"/>
      <c r="H210" s="2294"/>
      <c r="I210" s="2294"/>
      <c r="J210" s="2294"/>
      <c r="K210" s="2294"/>
      <c r="L210" s="2294"/>
      <c r="M210" s="2294"/>
      <c r="N210" s="2294"/>
      <c r="O210" s="2294"/>
      <c r="P210" s="2295"/>
      <c r="Q210" s="2295"/>
      <c r="R210" s="2295"/>
      <c r="S210" s="2295"/>
      <c r="T210" s="2295"/>
      <c r="U210" s="2296"/>
      <c r="V210" s="2296"/>
      <c r="W210" s="2296"/>
      <c r="X210" s="2296"/>
      <c r="Y210" s="2296"/>
      <c r="Z210" s="2296"/>
      <c r="AA210" s="2296"/>
      <c r="AB210" s="2296"/>
      <c r="AC210" s="2297" t="s">
        <v>1857</v>
      </c>
      <c r="AD210" s="2297"/>
      <c r="AE210" s="2297"/>
      <c r="AF210" s="2297"/>
      <c r="AG210" s="2289"/>
      <c r="AH210" s="2290"/>
      <c r="AI210" s="2290"/>
      <c r="AJ210" s="2290"/>
      <c r="AK210" s="2291"/>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11" t="s">
        <v>2234</v>
      </c>
      <c r="D211" s="2312"/>
      <c r="E211" s="2312"/>
      <c r="F211" s="2312"/>
      <c r="G211" s="2312"/>
      <c r="H211" s="2312"/>
      <c r="I211" s="2312"/>
      <c r="J211" s="2312"/>
      <c r="K211" s="2312"/>
      <c r="L211" s="2312"/>
      <c r="M211" s="2312"/>
      <c r="N211" s="2312"/>
      <c r="O211" s="2312"/>
      <c r="P211" s="2313"/>
      <c r="Q211" s="2313"/>
      <c r="R211" s="2313"/>
      <c r="S211" s="2313"/>
      <c r="T211" s="2313"/>
      <c r="U211" s="2314">
        <f>-SUM(U204:U210)</f>
        <v>-22303844</v>
      </c>
      <c r="V211" s="2314"/>
      <c r="W211" s="2314"/>
      <c r="X211" s="2314"/>
      <c r="Y211" s="2314">
        <f>-SUM(Y204:Y210)</f>
        <v>-6823379</v>
      </c>
      <c r="Z211" s="2314"/>
      <c r="AA211" s="2314"/>
      <c r="AB211" s="2314"/>
      <c r="AC211" s="2315">
        <f>-SUM(AC204:AC210)</f>
        <v>-1</v>
      </c>
      <c r="AD211" s="2315"/>
      <c r="AE211" s="2315"/>
      <c r="AF211" s="2315"/>
      <c r="AG211" s="2316"/>
      <c r="AH211" s="2317"/>
      <c r="AI211" s="2317"/>
      <c r="AJ211" s="2317"/>
      <c r="AK211" s="2318"/>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2233</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99" t="s">
        <v>2232</v>
      </c>
      <c r="C216" s="2300"/>
      <c r="D216" s="2300"/>
      <c r="E216" s="2300"/>
      <c r="F216" s="2300"/>
      <c r="G216" s="2300"/>
      <c r="H216" s="2300"/>
      <c r="I216" s="2300"/>
      <c r="J216" s="2300"/>
      <c r="K216" s="2300"/>
      <c r="L216" s="2300"/>
      <c r="M216" s="2300"/>
      <c r="N216" s="2300"/>
      <c r="O216" s="2300"/>
      <c r="P216" s="2300"/>
      <c r="Q216" s="2300"/>
      <c r="R216" s="2300"/>
      <c r="S216" s="2300"/>
      <c r="T216" s="2300"/>
      <c r="U216" s="2300"/>
      <c r="V216" s="2300"/>
      <c r="W216" s="2300"/>
      <c r="X216" s="2300"/>
      <c r="Y216" s="2300"/>
      <c r="Z216" s="2300"/>
      <c r="AA216" s="2300"/>
      <c r="AB216" s="2300"/>
      <c r="AC216" s="2300"/>
      <c r="AD216" s="2300"/>
      <c r="AE216" s="2300"/>
      <c r="AF216" s="2300"/>
      <c r="AG216" s="2300"/>
      <c r="AH216" s="2300"/>
      <c r="AI216" s="2300"/>
      <c r="AJ216" s="2300"/>
      <c r="AK216" s="2300"/>
      <c r="AL216" s="2300"/>
      <c r="AM216" s="2300"/>
      <c r="AN216" s="2300"/>
      <c r="AO216" s="2300"/>
      <c r="AP216" s="2300"/>
      <c r="AQ216" s="2300"/>
      <c r="AR216" s="2300"/>
      <c r="AS216" s="2300"/>
      <c r="AT216" s="2300"/>
      <c r="AU216" s="2300"/>
      <c r="AV216" s="2300"/>
      <c r="AW216" s="2300"/>
      <c r="AX216" s="2300"/>
      <c r="AY216" s="2300"/>
      <c r="AZ216" s="2300"/>
      <c r="BA216" s="2300"/>
      <c r="BB216" s="2300"/>
      <c r="BC216" s="2300"/>
      <c r="BD216" s="2301"/>
      <c r="BE216" s="1215"/>
    </row>
    <row r="217" spans="1:57" ht="15.75" customHeight="1">
      <c r="A217" s="1208"/>
      <c r="B217" s="2302"/>
      <c r="C217" s="2303"/>
      <c r="D217" s="2303"/>
      <c r="E217" s="2303"/>
      <c r="F217" s="2303"/>
      <c r="G217" s="2303"/>
      <c r="H217" s="2303"/>
      <c r="I217" s="2303"/>
      <c r="J217" s="2303"/>
      <c r="K217" s="2303"/>
      <c r="L217" s="2303"/>
      <c r="M217" s="2303"/>
      <c r="N217" s="2303"/>
      <c r="O217" s="2303"/>
      <c r="P217" s="2303"/>
      <c r="Q217" s="2303"/>
      <c r="R217" s="2303"/>
      <c r="S217" s="2303"/>
      <c r="T217" s="2303"/>
      <c r="U217" s="2303"/>
      <c r="V217" s="2303"/>
      <c r="W217" s="2303"/>
      <c r="X217" s="2303"/>
      <c r="Y217" s="2303"/>
      <c r="Z217" s="2303"/>
      <c r="AA217" s="2303"/>
      <c r="AB217" s="2303"/>
      <c r="AC217" s="2303"/>
      <c r="AD217" s="2303"/>
      <c r="AE217" s="2303"/>
      <c r="AF217" s="2303"/>
      <c r="AG217" s="2303"/>
      <c r="AH217" s="2303"/>
      <c r="AI217" s="2303"/>
      <c r="AJ217" s="2303"/>
      <c r="AK217" s="2303"/>
      <c r="AL217" s="2303"/>
      <c r="AM217" s="2303"/>
      <c r="AN217" s="2303"/>
      <c r="AO217" s="2303"/>
      <c r="AP217" s="2303"/>
      <c r="AQ217" s="2303"/>
      <c r="AR217" s="2303"/>
      <c r="AS217" s="2303"/>
      <c r="AT217" s="2303"/>
      <c r="AU217" s="2303"/>
      <c r="AV217" s="2303"/>
      <c r="AW217" s="2303"/>
      <c r="AX217" s="2303"/>
      <c r="AY217" s="2303"/>
      <c r="AZ217" s="2303"/>
      <c r="BA217" s="2303"/>
      <c r="BB217" s="2303"/>
      <c r="BC217" s="2303"/>
      <c r="BD217" s="2304"/>
      <c r="BE217" s="1215"/>
    </row>
    <row r="218" spans="1:57" ht="15.75" customHeight="1">
      <c r="A218" s="1208"/>
      <c r="B218" s="2305" t="s">
        <v>2231</v>
      </c>
      <c r="C218" s="2306"/>
      <c r="D218" s="2306"/>
      <c r="E218" s="2306"/>
      <c r="F218" s="2306"/>
      <c r="G218" s="2306"/>
      <c r="H218" s="2306"/>
      <c r="I218" s="2306"/>
      <c r="J218" s="2306"/>
      <c r="K218" s="2306"/>
      <c r="L218" s="2306"/>
      <c r="M218" s="2306"/>
      <c r="N218" s="2306"/>
      <c r="O218" s="2306"/>
      <c r="P218" s="2306"/>
      <c r="Q218" s="2306"/>
      <c r="R218" s="2306"/>
      <c r="S218" s="2306"/>
      <c r="T218" s="2306"/>
      <c r="U218" s="2306"/>
      <c r="V218" s="2306"/>
      <c r="W218" s="2306"/>
      <c r="X218" s="2306"/>
      <c r="Y218" s="2306"/>
      <c r="Z218" s="2306"/>
      <c r="AA218" s="2306"/>
      <c r="AB218" s="2306"/>
      <c r="AC218" s="2306"/>
      <c r="AD218" s="2306"/>
      <c r="AE218" s="2306"/>
      <c r="AF218" s="2306"/>
      <c r="AG218" s="2306"/>
      <c r="AH218" s="2306"/>
      <c r="AI218" s="2306"/>
      <c r="AJ218" s="2306"/>
      <c r="AK218" s="2306"/>
      <c r="AL218" s="2306"/>
      <c r="AM218" s="2306"/>
      <c r="AN218" s="2306"/>
      <c r="AO218" s="2306"/>
      <c r="AP218" s="2306"/>
      <c r="AQ218" s="2306"/>
      <c r="AR218" s="2306"/>
      <c r="AS218" s="2306"/>
      <c r="AT218" s="2306"/>
      <c r="AU218" s="2306"/>
      <c r="AV218" s="2306"/>
      <c r="AW218" s="2306"/>
      <c r="AX218" s="2306"/>
      <c r="AY218" s="2306"/>
      <c r="AZ218" s="2306"/>
      <c r="BA218" s="2306"/>
      <c r="BB218" s="2306"/>
      <c r="BC218" s="2306"/>
      <c r="BD218" s="2307"/>
      <c r="BE218" s="1215"/>
    </row>
    <row r="219" spans="1:57" ht="15.75" customHeight="1">
      <c r="A219" s="1208"/>
      <c r="B219" s="2305" t="s">
        <v>2230</v>
      </c>
      <c r="C219" s="2306"/>
      <c r="D219" s="2306"/>
      <c r="E219" s="2306"/>
      <c r="F219" s="2306"/>
      <c r="G219" s="2306"/>
      <c r="H219" s="2306"/>
      <c r="I219" s="2306"/>
      <c r="J219" s="2306"/>
      <c r="K219" s="2306"/>
      <c r="L219" s="2306"/>
      <c r="M219" s="2306"/>
      <c r="N219" s="2306"/>
      <c r="O219" s="2306"/>
      <c r="P219" s="2306"/>
      <c r="Q219" s="2306"/>
      <c r="R219" s="2306"/>
      <c r="S219" s="2306"/>
      <c r="T219" s="2306"/>
      <c r="U219" s="2306"/>
      <c r="V219" s="2306"/>
      <c r="W219" s="2306"/>
      <c r="X219" s="2306"/>
      <c r="Y219" s="2306"/>
      <c r="Z219" s="2306"/>
      <c r="AA219" s="2306"/>
      <c r="AB219" s="2306"/>
      <c r="AC219" s="2306"/>
      <c r="AD219" s="2306"/>
      <c r="AE219" s="2306"/>
      <c r="AF219" s="2306"/>
      <c r="AG219" s="2306"/>
      <c r="AH219" s="2306"/>
      <c r="AI219" s="2306"/>
      <c r="AJ219" s="2306"/>
      <c r="AK219" s="2306"/>
      <c r="AL219" s="2306"/>
      <c r="AM219" s="2306"/>
      <c r="AN219" s="2306"/>
      <c r="AO219" s="2306"/>
      <c r="AP219" s="2306"/>
      <c r="AQ219" s="2306"/>
      <c r="AR219" s="2306"/>
      <c r="AS219" s="2306"/>
      <c r="AT219" s="2306"/>
      <c r="AU219" s="2306"/>
      <c r="AV219" s="2306"/>
      <c r="AW219" s="2306"/>
      <c r="AX219" s="2306"/>
      <c r="AY219" s="2306"/>
      <c r="AZ219" s="2306"/>
      <c r="BA219" s="2306"/>
      <c r="BB219" s="2306"/>
      <c r="BC219" s="2306"/>
      <c r="BD219" s="2307"/>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308" t="s">
        <v>2229</v>
      </c>
      <c r="C221" s="2198"/>
      <c r="D221" s="2198"/>
      <c r="E221" s="2198"/>
      <c r="F221" s="2198"/>
      <c r="G221" s="2198"/>
      <c r="H221" s="2198"/>
      <c r="I221" s="2198"/>
      <c r="J221" s="2198"/>
      <c r="K221" s="2198"/>
      <c r="L221" s="2198"/>
      <c r="M221" s="2198"/>
      <c r="N221" s="2198"/>
      <c r="O221" s="2198"/>
      <c r="P221" s="2198"/>
      <c r="Q221" s="2198"/>
      <c r="R221" s="2198"/>
      <c r="S221" s="2198"/>
      <c r="T221" s="2198"/>
      <c r="U221" s="2198"/>
      <c r="V221" s="2198"/>
      <c r="W221" s="2198"/>
      <c r="X221" s="2198"/>
      <c r="Y221" s="2198"/>
      <c r="Z221" s="2198"/>
      <c r="AA221" s="2198"/>
      <c r="AB221" s="2198"/>
      <c r="AC221" s="2198"/>
      <c r="AD221" s="2198"/>
      <c r="AE221" s="2198"/>
      <c r="AF221" s="2198"/>
      <c r="AG221" s="2198"/>
      <c r="AH221" s="2198"/>
      <c r="AI221" s="2198"/>
      <c r="AJ221" s="2198"/>
      <c r="AK221" s="2198"/>
      <c r="AL221" s="2198"/>
      <c r="AM221" s="2198"/>
      <c r="AN221" s="2198"/>
      <c r="AO221" s="2198"/>
      <c r="AP221" s="2198"/>
      <c r="AQ221" s="2198"/>
      <c r="AR221" s="2198"/>
      <c r="AS221" s="2198"/>
      <c r="AT221" s="2198"/>
      <c r="AU221" s="2198"/>
      <c r="AV221" s="2198"/>
      <c r="AW221" s="2198"/>
      <c r="AX221" s="2198"/>
      <c r="AY221" s="2198"/>
      <c r="AZ221" s="2198"/>
      <c r="BA221" s="2198"/>
      <c r="BB221" s="2198"/>
      <c r="BC221" s="2198"/>
      <c r="BD221" s="2309"/>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2228</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310" t="s">
        <v>2227</v>
      </c>
      <c r="I225" s="2310"/>
      <c r="J225" s="2310"/>
      <c r="K225" s="2310"/>
      <c r="L225" s="2310"/>
      <c r="M225" s="2310"/>
      <c r="N225" s="2310"/>
      <c r="O225" s="2310"/>
      <c r="P225" s="2310"/>
      <c r="Q225" s="2310"/>
      <c r="R225" s="2310"/>
      <c r="S225" s="2310"/>
      <c r="T225" s="2310"/>
      <c r="U225" s="2310"/>
      <c r="V225" s="2310"/>
      <c r="W225" s="2310"/>
      <c r="X225" s="2310"/>
      <c r="Y225" s="2310"/>
      <c r="Z225" s="2310"/>
      <c r="AA225" s="2310"/>
      <c r="AB225" s="2310"/>
      <c r="AC225" s="2310"/>
      <c r="AD225" s="2310"/>
      <c r="AE225" s="2310"/>
      <c r="AF225" s="2310"/>
      <c r="AG225" s="2310"/>
      <c r="AH225" s="2310"/>
      <c r="AI225" s="2310"/>
      <c r="AJ225" s="2310"/>
      <c r="AK225" s="2310"/>
      <c r="AL225" s="2310"/>
      <c r="AM225" s="2310"/>
      <c r="AN225" s="2310"/>
      <c r="AO225" s="2310"/>
      <c r="AP225" s="2310"/>
      <c r="AQ225" s="2310"/>
      <c r="AR225" s="2310"/>
      <c r="AS225" s="2310"/>
      <c r="AT225" s="2310"/>
      <c r="AU225" s="2310"/>
      <c r="AV225" s="2310"/>
      <c r="AW225" s="2310"/>
      <c r="AX225" s="2310"/>
      <c r="AY225" s="2310"/>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28" t="s">
        <v>2226</v>
      </c>
      <c r="I227" s="2328"/>
      <c r="J227" s="2328"/>
      <c r="K227" s="2328"/>
      <c r="L227" s="2328"/>
      <c r="M227" s="2328"/>
      <c r="N227" s="2328"/>
      <c r="O227" s="2328"/>
      <c r="P227" s="2328"/>
      <c r="Q227" s="2328"/>
      <c r="R227" s="2328"/>
      <c r="S227" s="2328"/>
      <c r="T227" s="2328"/>
      <c r="U227" s="2328"/>
      <c r="V227" s="2328"/>
      <c r="W227" s="2328"/>
      <c r="X227" s="2328"/>
      <c r="Y227" s="2328"/>
      <c r="Z227" s="2328"/>
      <c r="AA227" s="2328"/>
      <c r="AB227" s="2328"/>
      <c r="AC227" s="2328"/>
      <c r="AD227" s="2328"/>
      <c r="AE227" s="2328"/>
      <c r="AF227" s="2328"/>
      <c r="AG227" s="2328"/>
      <c r="AH227" s="2328"/>
      <c r="AI227" s="2328"/>
      <c r="AJ227" s="2328"/>
      <c r="AK227" s="2328"/>
      <c r="AL227" s="2328"/>
      <c r="AM227" s="2328"/>
      <c r="AN227" s="2328"/>
      <c r="AO227" s="2328"/>
      <c r="AP227" s="2328"/>
      <c r="AQ227" s="2328"/>
      <c r="AR227" s="2328"/>
      <c r="AS227" s="2328"/>
      <c r="AT227" s="2328"/>
      <c r="AU227" s="2328"/>
      <c r="AV227" s="2328"/>
      <c r="AW227" s="2328"/>
      <c r="AX227" s="2328"/>
      <c r="AY227" s="2328"/>
      <c r="AZ227" s="2328"/>
      <c r="BA227" s="1208"/>
      <c r="BB227" s="1208"/>
      <c r="BC227" s="1208"/>
      <c r="BD227" s="1215"/>
      <c r="BE227" s="1215"/>
    </row>
    <row r="228" spans="1:57" ht="15.75" customHeight="1">
      <c r="A228" s="1208"/>
      <c r="B228" s="1207"/>
      <c r="C228" s="1208"/>
      <c r="D228" s="1208"/>
      <c r="E228" s="1208"/>
      <c r="F228" s="1208"/>
      <c r="G228" s="1208"/>
      <c r="H228" s="2328"/>
      <c r="I228" s="2328"/>
      <c r="J228" s="2328"/>
      <c r="K228" s="2328"/>
      <c r="L228" s="2328"/>
      <c r="M228" s="2328"/>
      <c r="N228" s="2328"/>
      <c r="O228" s="2328"/>
      <c r="P228" s="2328"/>
      <c r="Q228" s="2328"/>
      <c r="R228" s="2328"/>
      <c r="S228" s="2328"/>
      <c r="T228" s="2328"/>
      <c r="U228" s="2328"/>
      <c r="V228" s="2328"/>
      <c r="W228" s="2328"/>
      <c r="X228" s="2328"/>
      <c r="Y228" s="2328"/>
      <c r="Z228" s="2328"/>
      <c r="AA228" s="2328"/>
      <c r="AB228" s="2328"/>
      <c r="AC228" s="2328"/>
      <c r="AD228" s="2328"/>
      <c r="AE228" s="2328"/>
      <c r="AF228" s="2328"/>
      <c r="AG228" s="2328"/>
      <c r="AH228" s="2328"/>
      <c r="AI228" s="2328"/>
      <c r="AJ228" s="2328"/>
      <c r="AK228" s="2328"/>
      <c r="AL228" s="2328"/>
      <c r="AM228" s="2328"/>
      <c r="AN228" s="2328"/>
      <c r="AO228" s="2328"/>
      <c r="AP228" s="2328"/>
      <c r="AQ228" s="2328"/>
      <c r="AR228" s="2328"/>
      <c r="AS228" s="2328"/>
      <c r="AT228" s="2328"/>
      <c r="AU228" s="2328"/>
      <c r="AV228" s="2328"/>
      <c r="AW228" s="2328"/>
      <c r="AX228" s="2328"/>
      <c r="AY228" s="2328"/>
      <c r="AZ228" s="2328"/>
      <c r="BA228" s="1208"/>
      <c r="BB228" s="1208"/>
      <c r="BC228" s="1208"/>
      <c r="BD228" s="1215"/>
      <c r="BE228" s="1215"/>
    </row>
    <row r="229" spans="1:57" ht="15.75" customHeight="1">
      <c r="A229" s="1208"/>
      <c r="B229" s="1207"/>
      <c r="C229" s="1208"/>
      <c r="D229" s="1208"/>
      <c r="E229" s="1208"/>
      <c r="F229" s="1208"/>
      <c r="G229" s="1208"/>
      <c r="H229" s="2328"/>
      <c r="I229" s="2328"/>
      <c r="J229" s="2328"/>
      <c r="K229" s="2328"/>
      <c r="L229" s="2328"/>
      <c r="M229" s="2328"/>
      <c r="N229" s="2328"/>
      <c r="O229" s="2328"/>
      <c r="P229" s="2328"/>
      <c r="Q229" s="2328"/>
      <c r="R229" s="2328"/>
      <c r="S229" s="2328"/>
      <c r="T229" s="2328"/>
      <c r="U229" s="2328"/>
      <c r="V229" s="2328"/>
      <c r="W229" s="2328"/>
      <c r="X229" s="2328"/>
      <c r="Y229" s="2328"/>
      <c r="Z229" s="2328"/>
      <c r="AA229" s="2328"/>
      <c r="AB229" s="2328"/>
      <c r="AC229" s="2328"/>
      <c r="AD229" s="2328"/>
      <c r="AE229" s="2328"/>
      <c r="AF229" s="2328"/>
      <c r="AG229" s="2328"/>
      <c r="AH229" s="2328"/>
      <c r="AI229" s="2328"/>
      <c r="AJ229" s="2328"/>
      <c r="AK229" s="2328"/>
      <c r="AL229" s="2328"/>
      <c r="AM229" s="2328"/>
      <c r="AN229" s="2328"/>
      <c r="AO229" s="2328"/>
      <c r="AP229" s="2328"/>
      <c r="AQ229" s="2328"/>
      <c r="AR229" s="2328"/>
      <c r="AS229" s="2328"/>
      <c r="AT229" s="2328"/>
      <c r="AU229" s="2328"/>
      <c r="AV229" s="2328"/>
      <c r="AW229" s="2328"/>
      <c r="AX229" s="2328"/>
      <c r="AY229" s="2328"/>
      <c r="AZ229" s="2328"/>
      <c r="BA229" s="1208"/>
      <c r="BB229" s="1208"/>
      <c r="BC229" s="1208"/>
      <c r="BD229" s="1215"/>
      <c r="BE229" s="1215"/>
    </row>
    <row r="230" spans="1:57" ht="15.75" customHeight="1">
      <c r="A230" s="1208"/>
      <c r="B230" s="1207"/>
      <c r="C230" s="1208"/>
      <c r="D230" s="1208"/>
      <c r="E230" s="1208"/>
      <c r="F230" s="1208"/>
      <c r="G230" s="1208"/>
      <c r="H230" s="2328"/>
      <c r="I230" s="2328"/>
      <c r="J230" s="2328"/>
      <c r="K230" s="2328"/>
      <c r="L230" s="2328"/>
      <c r="M230" s="2328"/>
      <c r="N230" s="2328"/>
      <c r="O230" s="2328"/>
      <c r="P230" s="2328"/>
      <c r="Q230" s="2328"/>
      <c r="R230" s="2328"/>
      <c r="S230" s="2328"/>
      <c r="T230" s="2328"/>
      <c r="U230" s="2328"/>
      <c r="V230" s="2328"/>
      <c r="W230" s="2328"/>
      <c r="X230" s="2328"/>
      <c r="Y230" s="2328"/>
      <c r="Z230" s="2328"/>
      <c r="AA230" s="2328"/>
      <c r="AB230" s="2328"/>
      <c r="AC230" s="2328"/>
      <c r="AD230" s="2328"/>
      <c r="AE230" s="2328"/>
      <c r="AF230" s="2328"/>
      <c r="AG230" s="2328"/>
      <c r="AH230" s="2328"/>
      <c r="AI230" s="2328"/>
      <c r="AJ230" s="2328"/>
      <c r="AK230" s="2328"/>
      <c r="AL230" s="2328"/>
      <c r="AM230" s="2328"/>
      <c r="AN230" s="2328"/>
      <c r="AO230" s="2328"/>
      <c r="AP230" s="2328"/>
      <c r="AQ230" s="2328"/>
      <c r="AR230" s="2328"/>
      <c r="AS230" s="2328"/>
      <c r="AT230" s="2328"/>
      <c r="AU230" s="2328"/>
      <c r="AV230" s="2328"/>
      <c r="AW230" s="2328"/>
      <c r="AX230" s="2328"/>
      <c r="AY230" s="2328"/>
      <c r="AZ230" s="2328"/>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29" t="s">
        <v>2225</v>
      </c>
      <c r="I232" s="2329"/>
      <c r="J232" s="2329"/>
      <c r="K232" s="2329"/>
      <c r="L232" s="2329"/>
      <c r="M232" s="2329"/>
      <c r="N232" s="2329"/>
      <c r="O232" s="2329"/>
      <c r="P232" s="2329"/>
      <c r="Q232" s="2329"/>
      <c r="R232" s="2329"/>
      <c r="S232" s="2329"/>
      <c r="T232" s="2329"/>
      <c r="U232" s="2329"/>
      <c r="V232" s="2329"/>
      <c r="W232" s="2329"/>
      <c r="X232" s="2329"/>
      <c r="Y232" s="2329"/>
      <c r="Z232" s="2329"/>
      <c r="AA232" s="2329"/>
      <c r="AB232" s="2329"/>
      <c r="AC232" s="2329"/>
      <c r="AD232" s="2329"/>
      <c r="AE232" s="2329"/>
      <c r="AF232" s="2329"/>
      <c r="AG232" s="2329"/>
      <c r="AH232" s="2329"/>
      <c r="AI232" s="2329"/>
      <c r="AJ232" s="2329"/>
      <c r="AK232" s="2329"/>
      <c r="AL232" s="2329"/>
      <c r="AM232" s="2329"/>
      <c r="AN232" s="2329"/>
      <c r="AO232" s="2329"/>
      <c r="AP232" s="2329"/>
      <c r="AQ232" s="2329"/>
      <c r="AR232" s="2329"/>
      <c r="AS232" s="2329"/>
      <c r="AT232" s="2329"/>
      <c r="AU232" s="2329"/>
      <c r="AV232" s="2329"/>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19" t="s">
        <v>2224</v>
      </c>
      <c r="I234" s="2319"/>
      <c r="J234" s="2319"/>
      <c r="K234" s="2319"/>
      <c r="L234" s="1259"/>
      <c r="M234" s="1259"/>
      <c r="N234" s="1259"/>
      <c r="O234" s="1259"/>
      <c r="P234" s="1259"/>
      <c r="Q234" s="1259"/>
      <c r="R234" s="1259"/>
      <c r="S234" s="2330"/>
      <c r="T234" s="2331"/>
      <c r="U234" s="2331"/>
      <c r="V234" s="2331"/>
      <c r="W234" s="2331"/>
      <c r="X234" s="2331"/>
      <c r="Y234" s="2331"/>
      <c r="Z234" s="2331"/>
      <c r="AA234" s="2331"/>
      <c r="AB234" s="2331"/>
      <c r="AC234" s="2331"/>
      <c r="AD234" s="2331"/>
      <c r="AE234" s="2331"/>
      <c r="AF234" s="2331"/>
      <c r="AG234" s="2331"/>
      <c r="AH234" s="2331"/>
      <c r="AI234" s="2331"/>
      <c r="AJ234" s="2332"/>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19" t="s">
        <v>2223</v>
      </c>
      <c r="I236" s="2319"/>
      <c r="J236" s="2319"/>
      <c r="K236" s="1261"/>
      <c r="L236" s="1259"/>
      <c r="M236" s="1259"/>
      <c r="N236" s="1259"/>
      <c r="O236" s="1259"/>
      <c r="P236" s="1259"/>
      <c r="Q236" s="1259"/>
      <c r="R236" s="1259"/>
      <c r="S236" s="2320" t="s">
        <v>2738</v>
      </c>
      <c r="T236" s="2321"/>
      <c r="U236" s="2321"/>
      <c r="V236" s="2321"/>
      <c r="W236" s="2321"/>
      <c r="X236" s="2321"/>
      <c r="Y236" s="2321"/>
      <c r="Z236" s="2321"/>
      <c r="AA236" s="2321"/>
      <c r="AB236" s="2321"/>
      <c r="AC236" s="2321"/>
      <c r="AD236" s="2321"/>
      <c r="AE236" s="2321"/>
      <c r="AF236" s="2321"/>
      <c r="AG236" s="2321"/>
      <c r="AH236" s="2321"/>
      <c r="AI236" s="2321"/>
      <c r="AJ236" s="2322"/>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19" t="s">
        <v>440</v>
      </c>
      <c r="I238" s="2319"/>
      <c r="J238" s="1261"/>
      <c r="K238" s="1261"/>
      <c r="L238" s="1259"/>
      <c r="M238" s="1259"/>
      <c r="N238" s="1259"/>
      <c r="O238" s="1259"/>
      <c r="P238" s="1259"/>
      <c r="Q238" s="1259"/>
      <c r="R238" s="1259"/>
      <c r="S238" s="2320" t="s">
        <v>2739</v>
      </c>
      <c r="T238" s="2321"/>
      <c r="U238" s="2321"/>
      <c r="V238" s="2321"/>
      <c r="W238" s="2321"/>
      <c r="X238" s="2321"/>
      <c r="Y238" s="2321"/>
      <c r="Z238" s="2321"/>
      <c r="AA238" s="2321"/>
      <c r="AB238" s="2321"/>
      <c r="AC238" s="2321"/>
      <c r="AD238" s="2321"/>
      <c r="AE238" s="2321"/>
      <c r="AF238" s="2321"/>
      <c r="AG238" s="2321"/>
      <c r="AH238" s="2321"/>
      <c r="AI238" s="2321"/>
      <c r="AJ238" s="2322"/>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23" t="s">
        <v>2222</v>
      </c>
      <c r="I240" s="2323"/>
      <c r="J240" s="2323"/>
      <c r="K240" s="2323"/>
      <c r="L240" s="2323"/>
      <c r="M240" s="2323"/>
      <c r="N240" s="2323"/>
      <c r="O240" s="2323"/>
      <c r="P240" s="1259"/>
      <c r="Q240" s="1259"/>
      <c r="R240" s="1259"/>
      <c r="S240" s="2320" t="s">
        <v>2748</v>
      </c>
      <c r="T240" s="2321"/>
      <c r="U240" s="2321"/>
      <c r="V240" s="2321"/>
      <c r="W240" s="2321"/>
      <c r="X240" s="2321"/>
      <c r="Y240" s="2321"/>
      <c r="Z240" s="2321"/>
      <c r="AA240" s="2321"/>
      <c r="AB240" s="2321"/>
      <c r="AC240" s="2321"/>
      <c r="AD240" s="2321"/>
      <c r="AE240" s="2321"/>
      <c r="AF240" s="2321"/>
      <c r="AG240" s="2321"/>
      <c r="AH240" s="2321"/>
      <c r="AI240" s="2321"/>
      <c r="AJ240" s="2322"/>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24" t="s">
        <v>2221</v>
      </c>
      <c r="I242" s="2324"/>
      <c r="J242" s="1259"/>
      <c r="K242" s="1259"/>
      <c r="L242" s="1259"/>
      <c r="M242" s="1259"/>
      <c r="N242" s="1259"/>
      <c r="O242" s="1259"/>
      <c r="P242" s="1259"/>
      <c r="Q242" s="1259"/>
      <c r="R242" s="1259"/>
      <c r="S242" s="2325">
        <v>46087</v>
      </c>
      <c r="T242" s="2326"/>
      <c r="U242" s="2326"/>
      <c r="V242" s="2326"/>
      <c r="W242" s="2326"/>
      <c r="X242" s="2326"/>
      <c r="Y242" s="2326"/>
      <c r="Z242" s="2326"/>
      <c r="AA242" s="2326"/>
      <c r="AB242" s="2326"/>
      <c r="AC242" s="2326"/>
      <c r="AD242" s="2326"/>
      <c r="AE242" s="2326"/>
      <c r="AF242" s="2326"/>
      <c r="AG242" s="2326"/>
      <c r="AH242" s="2326"/>
      <c r="AI242" s="2326"/>
      <c r="AJ242" s="2327"/>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6">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1:AW61"/>
    <mergeCell ref="B63:I63"/>
    <mergeCell ref="J63:AW63"/>
    <mergeCell ref="B64:I64"/>
    <mergeCell ref="J64:AW64"/>
    <mergeCell ref="B59:I59"/>
    <mergeCell ref="J59:AW59"/>
    <mergeCell ref="B60:I60"/>
    <mergeCell ref="B61:I61"/>
    <mergeCell ref="J60:AW60"/>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25" right="0.25" top="0.75" bottom="0.75" header="0.3" footer="0.3"/>
  <pageSetup paperSize="5" scale="46" fitToHeight="0"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4" zoomScale="90" zoomScaleNormal="90" workbookViewId="0">
      <selection activeCell="AB47" sqref="AB47:AF47"/>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80" t="s">
        <v>1279</v>
      </c>
      <c r="B1" s="2380"/>
      <c r="C1" s="2380"/>
      <c r="D1" s="2380"/>
      <c r="E1" s="2380"/>
      <c r="F1" s="2380"/>
      <c r="G1" s="2380"/>
      <c r="H1" s="2380"/>
      <c r="I1" s="2380"/>
      <c r="J1" s="2380"/>
      <c r="K1" s="2380"/>
      <c r="L1" s="2380"/>
      <c r="M1" s="2380"/>
      <c r="N1" s="2380"/>
      <c r="O1" s="2380"/>
      <c r="P1" s="2380"/>
      <c r="Q1" s="2380"/>
      <c r="R1" s="2380"/>
      <c r="S1" s="2380"/>
      <c r="T1" s="2380"/>
      <c r="U1" s="2380"/>
      <c r="V1" s="2380"/>
      <c r="W1" s="2380"/>
      <c r="X1" s="2380"/>
      <c r="Y1" s="2380"/>
      <c r="Z1" s="2380"/>
      <c r="AA1" s="2380"/>
      <c r="AB1" s="2380"/>
      <c r="AC1" s="2380"/>
      <c r="AD1" s="2380"/>
      <c r="AE1" s="2380"/>
      <c r="AF1" s="2380"/>
      <c r="AG1" s="2380"/>
      <c r="AH1" s="2380"/>
      <c r="AI1" s="2380"/>
      <c r="AJ1" s="2380"/>
      <c r="AK1" s="2380"/>
      <c r="AL1" s="2380"/>
      <c r="AM1" s="2380"/>
      <c r="AN1" s="2380"/>
    </row>
    <row r="2" spans="1:40" ht="12.95" customHeight="1" thickBot="1">
      <c r="A2" s="2381"/>
      <c r="B2" s="2381"/>
      <c r="C2" s="2381"/>
      <c r="D2" s="2381"/>
      <c r="E2" s="2381"/>
      <c r="F2" s="2381"/>
      <c r="G2" s="2381"/>
      <c r="H2" s="2381"/>
      <c r="I2" s="2381"/>
      <c r="J2" s="2381"/>
      <c r="K2" s="2381"/>
      <c r="L2" s="2381"/>
      <c r="M2" s="2381"/>
      <c r="N2" s="2381"/>
      <c r="O2" s="2381"/>
      <c r="P2" s="2381"/>
      <c r="Q2" s="2381"/>
      <c r="R2" s="2381"/>
      <c r="S2" s="2381"/>
      <c r="T2" s="2381"/>
      <c r="U2" s="2381"/>
      <c r="V2" s="2381"/>
      <c r="W2" s="2381"/>
      <c r="X2" s="2381"/>
      <c r="Y2" s="2381"/>
      <c r="Z2" s="2381"/>
      <c r="AA2" s="2381"/>
      <c r="AB2" s="2381"/>
      <c r="AC2" s="2381"/>
      <c r="AD2" s="2381"/>
      <c r="AE2" s="2381"/>
      <c r="AF2" s="2381"/>
      <c r="AG2" s="2381"/>
      <c r="AH2" s="2381"/>
      <c r="AI2" s="2381"/>
      <c r="AJ2" s="2381"/>
      <c r="AK2" s="2381"/>
      <c r="AL2" s="2381"/>
      <c r="AM2" s="2381"/>
      <c r="AN2" s="2381"/>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60" t="str">
        <f xml:space="preserve"> IF(T25=100%,'Sources and Basis Breakdown'!G2,'Sources and Basis Breakdown'!F2)</f>
        <v>30% PVC for New Const/
Rehabilitation
DDA/QCT
Building(s)</v>
      </c>
      <c r="U7" s="2360"/>
      <c r="V7" s="2360"/>
      <c r="W7" s="2360"/>
      <c r="X7" s="2360"/>
      <c r="Y7" s="2360" t="str">
        <f>IF(T25=100%,"",'Sources and Basis Breakdown'!G2)</f>
        <v>30% PVC for New Const/
Rehabilitation
NON-DDA/
NON-QCT Building(s)</v>
      </c>
      <c r="Z7" s="2360"/>
      <c r="AA7" s="2360"/>
      <c r="AB7" s="2360"/>
      <c r="AC7" s="2360"/>
      <c r="AD7" s="2360" t="str">
        <f xml:space="preserve"> IF(T25=100%, 'Sources and Basis Breakdown'!J2,'Sources and Basis Breakdown'!I2)</f>
        <v>30% PVC for Acquisition
DDA/QCT Building(s)</v>
      </c>
      <c r="AE7" s="2360"/>
      <c r="AF7" s="2360"/>
      <c r="AG7" s="2360"/>
      <c r="AH7" s="2360"/>
      <c r="AI7" s="2360" t="str">
        <f>IF(T25=100%,"",'Sources and Basis Breakdown'!J2)</f>
        <v>30% PVC for Acquisition
NON-DDA/
NON-QCT Building(s)</v>
      </c>
      <c r="AJ7" s="2360"/>
      <c r="AK7" s="2360"/>
      <c r="AL7" s="2360"/>
      <c r="AM7" s="2360"/>
    </row>
    <row r="8" spans="1:40" ht="12.95" customHeight="1">
      <c r="B8" s="407"/>
      <c r="T8" s="2360"/>
      <c r="U8" s="2360"/>
      <c r="V8" s="2360"/>
      <c r="W8" s="2360"/>
      <c r="X8" s="2360"/>
      <c r="Y8" s="2360"/>
      <c r="Z8" s="2360"/>
      <c r="AA8" s="2360"/>
      <c r="AB8" s="2360"/>
      <c r="AC8" s="2360"/>
      <c r="AD8" s="2360"/>
      <c r="AE8" s="2360"/>
      <c r="AF8" s="2360"/>
      <c r="AG8" s="2360"/>
      <c r="AH8" s="2360"/>
      <c r="AI8" s="2360"/>
      <c r="AJ8" s="2360"/>
      <c r="AK8" s="2360"/>
      <c r="AL8" s="2360"/>
      <c r="AM8" s="2360"/>
    </row>
    <row r="9" spans="1:40" ht="12.95" customHeight="1">
      <c r="B9" s="407"/>
      <c r="T9" s="2360"/>
      <c r="U9" s="2360"/>
      <c r="V9" s="2360"/>
      <c r="W9" s="2360"/>
      <c r="X9" s="2360"/>
      <c r="Y9" s="2360"/>
      <c r="Z9" s="2360"/>
      <c r="AA9" s="2360"/>
      <c r="AB9" s="2360"/>
      <c r="AC9" s="2360"/>
      <c r="AD9" s="2360"/>
      <c r="AE9" s="2360"/>
      <c r="AF9" s="2360"/>
      <c r="AG9" s="2360"/>
      <c r="AH9" s="2360"/>
      <c r="AI9" s="2360"/>
      <c r="AJ9" s="2360"/>
      <c r="AK9" s="2360"/>
      <c r="AL9" s="2360"/>
      <c r="AM9" s="2360"/>
    </row>
    <row r="10" spans="1:40" ht="12.95" customHeight="1">
      <c r="B10" s="408"/>
      <c r="C10" s="409"/>
      <c r="D10" s="409"/>
      <c r="E10" s="409"/>
      <c r="F10" s="409"/>
      <c r="G10" s="409"/>
      <c r="H10" s="409"/>
      <c r="I10" s="409"/>
      <c r="J10" s="409"/>
      <c r="K10" s="409"/>
      <c r="L10" s="409"/>
      <c r="M10" s="409"/>
      <c r="N10" s="409"/>
      <c r="O10" s="409"/>
      <c r="P10" s="409"/>
      <c r="Q10" s="409"/>
      <c r="R10" s="409"/>
      <c r="S10" s="409"/>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2.95" customHeight="1">
      <c r="B11" s="2346" t="s">
        <v>375</v>
      </c>
      <c r="C11" s="2347"/>
      <c r="D11" s="2347"/>
      <c r="E11" s="2347"/>
      <c r="F11" s="2347"/>
      <c r="G11" s="2347"/>
      <c r="H11" s="2347"/>
      <c r="I11" s="2347"/>
      <c r="J11" s="2347"/>
      <c r="K11" s="2347"/>
      <c r="L11" s="2347"/>
      <c r="M11" s="2347"/>
      <c r="N11" s="2347"/>
      <c r="O11" s="2347"/>
      <c r="P11" s="2347"/>
      <c r="Q11" s="2347"/>
      <c r="R11" s="2347"/>
      <c r="S11" s="2348"/>
      <c r="T11" s="2382">
        <f>IF('Sources and Basis Breakdown'!F107=0,'Sources and Basis Breakdown'!E107,'Sources and Basis Breakdown'!F107)</f>
        <v>52312574</v>
      </c>
      <c r="U11" s="2383"/>
      <c r="V11" s="2383"/>
      <c r="W11" s="2383"/>
      <c r="X11" s="2383"/>
      <c r="Y11" s="2382">
        <f>IF(Y7="",0,IF('Sources and Basis Breakdown'!G107+'Sources and Basis Breakdown'!F107='Sources and Basis Breakdown'!E107,'Sources and Basis Breakdown'!G107,0))</f>
        <v>0</v>
      </c>
      <c r="Z11" s="2383"/>
      <c r="AA11" s="2383"/>
      <c r="AB11" s="2383"/>
      <c r="AC11" s="2383"/>
      <c r="AD11" s="2383">
        <f>IF('Sources and Basis Breakdown'!I107=0,'Sources and Basis Breakdown'!H107,'Sources and Basis Breakdown'!I107)</f>
        <v>0</v>
      </c>
      <c r="AE11" s="2383"/>
      <c r="AF11" s="2383"/>
      <c r="AG11" s="2383"/>
      <c r="AH11" s="2383"/>
      <c r="AI11" s="2383">
        <f>IF(Y7="",0,IF('Sources and Basis Breakdown'!I107+'Sources and Basis Breakdown'!J107='Sources and Basis Breakdown'!H107,'Sources and Basis Breakdown'!J107,0))</f>
        <v>0</v>
      </c>
      <c r="AJ11" s="2383"/>
      <c r="AK11" s="2383"/>
      <c r="AL11" s="2383"/>
      <c r="AM11" s="2383"/>
    </row>
    <row r="12" spans="1:40" ht="12.95" customHeight="1">
      <c r="B12" s="2384" t="s">
        <v>496</v>
      </c>
      <c r="C12" s="1840"/>
      <c r="D12" s="1840"/>
      <c r="E12" s="1840"/>
      <c r="F12" s="1840"/>
      <c r="G12" s="1840"/>
      <c r="H12" s="1840"/>
      <c r="I12" s="1840"/>
      <c r="J12" s="1840"/>
      <c r="K12" s="1840"/>
      <c r="L12" s="1840"/>
      <c r="M12" s="1840"/>
      <c r="N12" s="1840"/>
      <c r="O12" s="1840"/>
      <c r="P12" s="1840"/>
      <c r="Q12" s="1840"/>
      <c r="R12" s="1840"/>
      <c r="S12" s="2385"/>
      <c r="T12" s="2375"/>
      <c r="U12" s="2376"/>
      <c r="V12" s="2376"/>
      <c r="W12" s="2376"/>
      <c r="X12" s="2377"/>
      <c r="Y12" s="2375"/>
      <c r="Z12" s="2376"/>
      <c r="AA12" s="2376"/>
      <c r="AB12" s="2376"/>
      <c r="AC12" s="2377"/>
      <c r="AD12" s="2375"/>
      <c r="AE12" s="2376"/>
      <c r="AF12" s="2376"/>
      <c r="AG12" s="2376"/>
      <c r="AH12" s="2377"/>
      <c r="AI12" s="2375"/>
      <c r="AJ12" s="2376"/>
      <c r="AK12" s="2376"/>
      <c r="AL12" s="2376"/>
      <c r="AM12" s="2377"/>
    </row>
    <row r="13" spans="1:40" ht="12.95" customHeight="1">
      <c r="B13" s="435"/>
      <c r="C13" s="2386" t="s">
        <v>497</v>
      </c>
      <c r="D13" s="2386"/>
      <c r="E13" s="2386"/>
      <c r="F13" s="2386"/>
      <c r="G13" s="2386"/>
      <c r="H13" s="2386"/>
      <c r="I13" s="2386"/>
      <c r="J13" s="2386"/>
      <c r="K13" s="2386"/>
      <c r="L13" s="2386"/>
      <c r="M13" s="2386"/>
      <c r="N13" s="2386"/>
      <c r="O13" s="2386"/>
      <c r="P13" s="2386"/>
      <c r="Q13" s="2386"/>
      <c r="R13" s="2386"/>
      <c r="S13" s="2387"/>
      <c r="T13" s="2378"/>
      <c r="U13" s="2379"/>
      <c r="V13" s="2379"/>
      <c r="W13" s="2379"/>
      <c r="X13" s="2379"/>
      <c r="Y13" s="2378"/>
      <c r="Z13" s="2379"/>
      <c r="AA13" s="2379"/>
      <c r="AB13" s="2379"/>
      <c r="AC13" s="2379"/>
      <c r="AD13" s="2379"/>
      <c r="AE13" s="2379"/>
      <c r="AF13" s="2379"/>
      <c r="AG13" s="2379"/>
      <c r="AH13" s="2379"/>
      <c r="AI13" s="2379"/>
      <c r="AJ13" s="2379"/>
      <c r="AK13" s="2379"/>
      <c r="AL13" s="2379"/>
      <c r="AM13" s="2379"/>
    </row>
    <row r="14" spans="1:40" ht="12.95" customHeight="1">
      <c r="B14" s="435"/>
      <c r="C14" s="2386" t="s">
        <v>498</v>
      </c>
      <c r="D14" s="2386"/>
      <c r="E14" s="2386"/>
      <c r="F14" s="2386"/>
      <c r="G14" s="2386"/>
      <c r="H14" s="2386"/>
      <c r="I14" s="2386"/>
      <c r="J14" s="2386"/>
      <c r="K14" s="2386"/>
      <c r="L14" s="2386"/>
      <c r="M14" s="2386"/>
      <c r="N14" s="2386"/>
      <c r="O14" s="2386"/>
      <c r="P14" s="2386"/>
      <c r="Q14" s="2386"/>
      <c r="R14" s="2386"/>
      <c r="S14" s="2387"/>
      <c r="T14" s="2368"/>
      <c r="U14" s="2369"/>
      <c r="V14" s="2369"/>
      <c r="W14" s="2369"/>
      <c r="X14" s="2369"/>
      <c r="Y14" s="2368"/>
      <c r="Z14" s="2369"/>
      <c r="AA14" s="2369"/>
      <c r="AB14" s="2369"/>
      <c r="AC14" s="2369"/>
      <c r="AD14" s="2369"/>
      <c r="AE14" s="2369"/>
      <c r="AF14" s="2369"/>
      <c r="AG14" s="2369"/>
      <c r="AH14" s="2369"/>
      <c r="AI14" s="2369"/>
      <c r="AJ14" s="2369"/>
      <c r="AK14" s="2369"/>
      <c r="AL14" s="2369"/>
      <c r="AM14" s="2369"/>
    </row>
    <row r="15" spans="1:40" ht="12.95" customHeight="1">
      <c r="B15" s="435"/>
      <c r="C15" s="2386" t="s">
        <v>499</v>
      </c>
      <c r="D15" s="2386"/>
      <c r="E15" s="2386"/>
      <c r="F15" s="2386"/>
      <c r="G15" s="2386"/>
      <c r="H15" s="2386"/>
      <c r="I15" s="2386"/>
      <c r="J15" s="2386"/>
      <c r="K15" s="2386"/>
      <c r="L15" s="2386"/>
      <c r="M15" s="2386"/>
      <c r="N15" s="2386"/>
      <c r="O15" s="2386"/>
      <c r="P15" s="2386"/>
      <c r="Q15" s="2386"/>
      <c r="R15" s="2386"/>
      <c r="S15" s="2387"/>
      <c r="T15" s="2368"/>
      <c r="U15" s="2369"/>
      <c r="V15" s="2369"/>
      <c r="W15" s="2369"/>
      <c r="X15" s="2369"/>
      <c r="Y15" s="2368"/>
      <c r="Z15" s="2369"/>
      <c r="AA15" s="2369"/>
      <c r="AB15" s="2369"/>
      <c r="AC15" s="2369"/>
      <c r="AD15" s="2369"/>
      <c r="AE15" s="2369"/>
      <c r="AF15" s="2369"/>
      <c r="AG15" s="2369"/>
      <c r="AH15" s="2369"/>
      <c r="AI15" s="2369"/>
      <c r="AJ15" s="2369"/>
      <c r="AK15" s="2369"/>
      <c r="AL15" s="2369"/>
      <c r="AM15" s="2369"/>
    </row>
    <row r="16" spans="1:40" ht="12.95" customHeight="1">
      <c r="B16" s="435"/>
      <c r="C16" s="2386" t="s">
        <v>804</v>
      </c>
      <c r="D16" s="2386"/>
      <c r="E16" s="2386"/>
      <c r="F16" s="2386"/>
      <c r="G16" s="2386"/>
      <c r="H16" s="2386"/>
      <c r="I16" s="2386"/>
      <c r="J16" s="2386"/>
      <c r="K16" s="2386"/>
      <c r="L16" s="2386"/>
      <c r="M16" s="2386"/>
      <c r="N16" s="2386"/>
      <c r="O16" s="2386"/>
      <c r="P16" s="2386"/>
      <c r="Q16" s="2386"/>
      <c r="R16" s="2386"/>
      <c r="S16" s="2387"/>
      <c r="T16" s="2368"/>
      <c r="U16" s="2369"/>
      <c r="V16" s="2369"/>
      <c r="W16" s="2369"/>
      <c r="X16" s="2369"/>
      <c r="Y16" s="2368"/>
      <c r="Z16" s="2369"/>
      <c r="AA16" s="2369"/>
      <c r="AB16" s="2369"/>
      <c r="AC16" s="2369"/>
      <c r="AD16" s="2369"/>
      <c r="AE16" s="2369"/>
      <c r="AF16" s="2369"/>
      <c r="AG16" s="2369"/>
      <c r="AH16" s="2369"/>
      <c r="AI16" s="2369"/>
      <c r="AJ16" s="2369"/>
      <c r="AK16" s="2369"/>
      <c r="AL16" s="2369"/>
      <c r="AM16" s="2369"/>
    </row>
    <row r="17" spans="1:40" ht="12.95" customHeight="1">
      <c r="B17" s="435"/>
      <c r="C17" s="2386" t="s">
        <v>500</v>
      </c>
      <c r="D17" s="2386"/>
      <c r="E17" s="2386"/>
      <c r="F17" s="2386"/>
      <c r="G17" s="2386"/>
      <c r="H17" s="2386"/>
      <c r="I17" s="2386"/>
      <c r="J17" s="2386"/>
      <c r="K17" s="2386"/>
      <c r="L17" s="2386"/>
      <c r="M17" s="2386"/>
      <c r="N17" s="2386"/>
      <c r="O17" s="2386"/>
      <c r="P17" s="2386"/>
      <c r="Q17" s="2386"/>
      <c r="R17" s="2386"/>
      <c r="S17" s="2387"/>
      <c r="T17" s="2368"/>
      <c r="U17" s="2369"/>
      <c r="V17" s="2369"/>
      <c r="W17" s="2369"/>
      <c r="X17" s="2369"/>
      <c r="Y17" s="2368"/>
      <c r="Z17" s="2369"/>
      <c r="AA17" s="2369"/>
      <c r="AB17" s="2369"/>
      <c r="AC17" s="2369"/>
      <c r="AD17" s="2369"/>
      <c r="AE17" s="2369"/>
      <c r="AF17" s="2369"/>
      <c r="AG17" s="2369"/>
      <c r="AH17" s="2369"/>
      <c r="AI17" s="2369"/>
      <c r="AJ17" s="2369"/>
      <c r="AK17" s="2369"/>
      <c r="AL17" s="2369"/>
      <c r="AM17" s="2369"/>
    </row>
    <row r="18" spans="1:40" ht="12.95" customHeight="1">
      <c r="A18"/>
      <c r="B18" s="1144"/>
      <c r="C18" s="1539" t="s">
        <v>959</v>
      </c>
      <c r="D18" s="1539"/>
      <c r="E18" s="1539"/>
      <c r="F18" s="1539"/>
      <c r="G18" s="1539"/>
      <c r="H18" s="1539"/>
      <c r="I18" s="1539"/>
      <c r="J18" s="1539"/>
      <c r="K18" s="1539"/>
      <c r="L18" s="1539"/>
      <c r="M18" s="1539"/>
      <c r="N18" s="1539"/>
      <c r="O18" s="1539"/>
      <c r="P18" s="1539"/>
      <c r="Q18" s="1539"/>
      <c r="R18" s="1539"/>
      <c r="S18" s="1540"/>
      <c r="T18" s="2368"/>
      <c r="U18" s="2369"/>
      <c r="V18" s="2369"/>
      <c r="W18" s="2369"/>
      <c r="X18" s="2369"/>
      <c r="Y18" s="2368"/>
      <c r="Z18" s="2369"/>
      <c r="AA18" s="2369"/>
      <c r="AB18" s="2369"/>
      <c r="AC18" s="2369"/>
      <c r="AD18" s="2369"/>
      <c r="AE18" s="2369"/>
      <c r="AF18" s="2369"/>
      <c r="AG18" s="2369"/>
      <c r="AH18" s="2369"/>
      <c r="AI18" s="2369"/>
      <c r="AJ18" s="2369"/>
      <c r="AK18" s="2369"/>
      <c r="AL18" s="2369"/>
      <c r="AM18" s="2369"/>
    </row>
    <row r="19" spans="1:40" ht="12.95" customHeight="1">
      <c r="B19" s="1144"/>
      <c r="C19" s="1539" t="s">
        <v>959</v>
      </c>
      <c r="D19" s="1539"/>
      <c r="E19" s="1539"/>
      <c r="F19" s="1539"/>
      <c r="G19" s="1539"/>
      <c r="H19" s="1539"/>
      <c r="I19" s="1539"/>
      <c r="J19" s="1539"/>
      <c r="K19" s="1539"/>
      <c r="L19" s="1539"/>
      <c r="M19" s="1539"/>
      <c r="N19" s="1539"/>
      <c r="O19" s="1539"/>
      <c r="P19" s="1539"/>
      <c r="Q19" s="1539"/>
      <c r="R19" s="1539"/>
      <c r="S19" s="1540"/>
      <c r="T19" s="2368"/>
      <c r="U19" s="2369"/>
      <c r="V19" s="2369"/>
      <c r="W19" s="2369"/>
      <c r="X19" s="2369"/>
      <c r="Y19" s="2368"/>
      <c r="Z19" s="2369"/>
      <c r="AA19" s="2369"/>
      <c r="AB19" s="2369"/>
      <c r="AC19" s="2369"/>
      <c r="AD19" s="2369"/>
      <c r="AE19" s="2369"/>
      <c r="AF19" s="2369"/>
      <c r="AG19" s="2369"/>
      <c r="AH19" s="2369"/>
      <c r="AI19" s="2369"/>
      <c r="AJ19" s="2369"/>
      <c r="AK19" s="2369"/>
      <c r="AL19" s="2369"/>
      <c r="AM19" s="2369"/>
    </row>
    <row r="20" spans="1:40" ht="12.95" customHeight="1">
      <c r="B20" s="2346" t="s">
        <v>501</v>
      </c>
      <c r="C20" s="2347"/>
      <c r="D20" s="2347"/>
      <c r="E20" s="2347"/>
      <c r="F20" s="2347"/>
      <c r="G20" s="2347"/>
      <c r="H20" s="2347"/>
      <c r="I20" s="2347"/>
      <c r="J20" s="2347"/>
      <c r="K20" s="2347"/>
      <c r="L20" s="2347"/>
      <c r="M20" s="2347"/>
      <c r="N20" s="2347"/>
      <c r="O20" s="2347"/>
      <c r="P20" s="2347"/>
      <c r="Q20" s="2347"/>
      <c r="R20" s="2347"/>
      <c r="S20" s="2348"/>
      <c r="T20" s="2359">
        <f>SUM(T13:X19)</f>
        <v>0</v>
      </c>
      <c r="U20" s="2340"/>
      <c r="V20" s="2340"/>
      <c r="W20" s="2340"/>
      <c r="X20" s="2340"/>
      <c r="Y20" s="2359">
        <f>SUM(Y13:AC19)</f>
        <v>0</v>
      </c>
      <c r="Z20" s="2340"/>
      <c r="AA20" s="2340"/>
      <c r="AB20" s="2340"/>
      <c r="AC20" s="2340"/>
      <c r="AD20" s="2350">
        <f>SUM(AD13:AH19)</f>
        <v>0</v>
      </c>
      <c r="AE20" s="2358"/>
      <c r="AF20" s="2358"/>
      <c r="AG20" s="2358"/>
      <c r="AH20" s="2359"/>
      <c r="AI20" s="2350">
        <f>SUM(AI13:AM19)</f>
        <v>0</v>
      </c>
      <c r="AJ20" s="2358"/>
      <c r="AK20" s="2358"/>
      <c r="AL20" s="2358"/>
      <c r="AM20" s="2359"/>
    </row>
    <row r="21" spans="1:40" ht="12.95" customHeight="1">
      <c r="B21" s="2346" t="s">
        <v>1262</v>
      </c>
      <c r="C21" s="2347"/>
      <c r="D21" s="2347"/>
      <c r="E21" s="2347"/>
      <c r="F21" s="2347"/>
      <c r="G21" s="2347"/>
      <c r="H21" s="2347"/>
      <c r="I21" s="2347"/>
      <c r="J21" s="2347"/>
      <c r="K21" s="2347"/>
      <c r="L21" s="2347"/>
      <c r="M21" s="2347"/>
      <c r="N21" s="2347"/>
      <c r="O21" s="2347"/>
      <c r="P21" s="2347"/>
      <c r="Q21" s="2347"/>
      <c r="R21" s="2347"/>
      <c r="S21" s="2348"/>
      <c r="T21" s="2368"/>
      <c r="U21" s="2369"/>
      <c r="V21" s="2369"/>
      <c r="W21" s="2369"/>
      <c r="X21" s="2369"/>
      <c r="Y21" s="2368"/>
      <c r="Z21" s="2369"/>
      <c r="AA21" s="2369"/>
      <c r="AB21" s="2369"/>
      <c r="AC21" s="2369"/>
      <c r="AD21" s="2375"/>
      <c r="AE21" s="2376"/>
      <c r="AF21" s="2376"/>
      <c r="AG21" s="2376"/>
      <c r="AH21" s="2377"/>
      <c r="AI21" s="2375"/>
      <c r="AJ21" s="2376"/>
      <c r="AK21" s="2376"/>
      <c r="AL21" s="2376"/>
      <c r="AM21" s="2377"/>
    </row>
    <row r="22" spans="1:40" ht="12.95" customHeight="1">
      <c r="B22" s="2346" t="s">
        <v>502</v>
      </c>
      <c r="C22" s="2347"/>
      <c r="D22" s="2347"/>
      <c r="E22" s="2347"/>
      <c r="F22" s="2347"/>
      <c r="G22" s="2347"/>
      <c r="H22" s="2347"/>
      <c r="I22" s="2347"/>
      <c r="J22" s="2347"/>
      <c r="K22" s="2347"/>
      <c r="L22" s="2347"/>
      <c r="M22" s="2347"/>
      <c r="N22" s="2347"/>
      <c r="O22" s="2347"/>
      <c r="P22" s="2347"/>
      <c r="Q22" s="2347"/>
      <c r="R22" s="2347"/>
      <c r="S22" s="2348"/>
      <c r="T22" s="2364">
        <f>(ABS(T20)+ABS(T21))*-1</f>
        <v>0</v>
      </c>
      <c r="U22" s="2365"/>
      <c r="V22" s="2365"/>
      <c r="W22" s="2365"/>
      <c r="X22" s="2365"/>
      <c r="Y22" s="2364">
        <f>(Y20+Y21)*-1</f>
        <v>0</v>
      </c>
      <c r="Z22" s="2365"/>
      <c r="AA22" s="2365"/>
      <c r="AB22" s="2365"/>
      <c r="AC22" s="2365"/>
      <c r="AD22" s="2366">
        <f>(AD20)*-1</f>
        <v>0</v>
      </c>
      <c r="AE22" s="2367"/>
      <c r="AF22" s="2367"/>
      <c r="AG22" s="2367"/>
      <c r="AH22" s="2364"/>
      <c r="AI22" s="2366">
        <f>(AI20)*-1</f>
        <v>0</v>
      </c>
      <c r="AJ22" s="2367"/>
      <c r="AK22" s="2367"/>
      <c r="AL22" s="2367"/>
      <c r="AM22" s="2364"/>
    </row>
    <row r="23" spans="1:40" ht="12.95" customHeight="1">
      <c r="B23" s="2346" t="s">
        <v>503</v>
      </c>
      <c r="C23" s="2347"/>
      <c r="D23" s="2347"/>
      <c r="E23" s="2347"/>
      <c r="F23" s="2347"/>
      <c r="G23" s="2347"/>
      <c r="H23" s="2347"/>
      <c r="I23" s="2347"/>
      <c r="J23" s="2347"/>
      <c r="K23" s="2347"/>
      <c r="L23" s="2347"/>
      <c r="M23" s="2347"/>
      <c r="N23" s="2347"/>
      <c r="O23" s="2347"/>
      <c r="P23" s="2347"/>
      <c r="Q23" s="2347"/>
      <c r="R23" s="2347"/>
      <c r="S23" s="2348"/>
      <c r="T23" s="2359">
        <f>T11+T22</f>
        <v>52312574</v>
      </c>
      <c r="U23" s="2340"/>
      <c r="V23" s="2340"/>
      <c r="W23" s="2340"/>
      <c r="X23" s="2340"/>
      <c r="Y23" s="2359">
        <f>Y11+Y22</f>
        <v>0</v>
      </c>
      <c r="Z23" s="2340"/>
      <c r="AA23" s="2340"/>
      <c r="AB23" s="2340"/>
      <c r="AC23" s="2340"/>
      <c r="AD23" s="2359">
        <f>AD11+AD22</f>
        <v>0</v>
      </c>
      <c r="AE23" s="2340"/>
      <c r="AF23" s="2340"/>
      <c r="AG23" s="2340"/>
      <c r="AH23" s="2340"/>
      <c r="AI23" s="2359">
        <f>AI11+AI22</f>
        <v>0</v>
      </c>
      <c r="AJ23" s="2340"/>
      <c r="AK23" s="2340"/>
      <c r="AL23" s="2340"/>
      <c r="AM23" s="2340"/>
    </row>
    <row r="24" spans="1:40" ht="12.95" customHeight="1">
      <c r="B24" s="2346" t="s">
        <v>960</v>
      </c>
      <c r="C24" s="2347"/>
      <c r="D24" s="2347"/>
      <c r="E24" s="2347"/>
      <c r="F24" s="2347"/>
      <c r="G24" s="2347"/>
      <c r="H24" s="2347"/>
      <c r="I24" s="2347"/>
      <c r="J24" s="2347"/>
      <c r="K24" s="2347"/>
      <c r="L24" s="2347"/>
      <c r="M24" s="2347"/>
      <c r="N24" s="2347"/>
      <c r="O24" s="2347"/>
      <c r="P24" s="2347"/>
      <c r="Q24" s="2347"/>
      <c r="R24" s="2347"/>
      <c r="S24" s="2348"/>
      <c r="T24" s="2350">
        <f>Application!AJ1062</f>
        <v>162253578.19999999</v>
      </c>
      <c r="U24" s="2358"/>
      <c r="V24" s="2358"/>
      <c r="W24" s="2358"/>
      <c r="X24" s="2358"/>
      <c r="Y24" s="2358"/>
      <c r="Z24" s="2358"/>
      <c r="AA24" s="2358"/>
      <c r="AB24" s="2358"/>
      <c r="AC24" s="2358"/>
      <c r="AD24" s="2358"/>
      <c r="AE24" s="2358"/>
      <c r="AF24" s="2358"/>
      <c r="AG24" s="2358"/>
      <c r="AH24" s="2358"/>
      <c r="AI24" s="2358"/>
      <c r="AJ24" s="2358"/>
      <c r="AK24" s="2358"/>
      <c r="AL24" s="2358"/>
      <c r="AM24" s="2359"/>
    </row>
    <row r="25" spans="1:40" ht="12.95" customHeight="1">
      <c r="B25" s="2390" t="s">
        <v>1263</v>
      </c>
      <c r="C25" s="2391"/>
      <c r="D25" s="2391"/>
      <c r="E25" s="2391"/>
      <c r="F25" s="2391"/>
      <c r="G25" s="2391"/>
      <c r="H25" s="2391"/>
      <c r="I25" s="2391"/>
      <c r="J25" s="2391"/>
      <c r="K25" s="2391"/>
      <c r="L25" s="2391"/>
      <c r="M25" s="2391"/>
      <c r="N25" s="2391"/>
      <c r="O25" s="2391"/>
      <c r="P25" s="2391"/>
      <c r="Q25" s="2391"/>
      <c r="R25" s="2391"/>
      <c r="S25" s="2392"/>
      <c r="T25" s="2372">
        <f>IF(OR(Application!T196="yes",Application!T195="yes"),1.3,1)</f>
        <v>1.3</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2.95" customHeight="1">
      <c r="B26" s="2346" t="s">
        <v>504</v>
      </c>
      <c r="C26" s="2347"/>
      <c r="D26" s="2347"/>
      <c r="E26" s="2347"/>
      <c r="F26" s="2347"/>
      <c r="G26" s="2347"/>
      <c r="H26" s="2347"/>
      <c r="I26" s="2347"/>
      <c r="J26" s="2347"/>
      <c r="K26" s="2347"/>
      <c r="L26" s="2347"/>
      <c r="M26" s="2347"/>
      <c r="N26" s="2347"/>
      <c r="O26" s="2347"/>
      <c r="P26" s="2347"/>
      <c r="Q26" s="2347"/>
      <c r="R26" s="2347"/>
      <c r="S26" s="2348"/>
      <c r="T26" s="2359">
        <f>T23*T25</f>
        <v>68006346.200000003</v>
      </c>
      <c r="U26" s="2340"/>
      <c r="V26" s="2340"/>
      <c r="W26" s="2340"/>
      <c r="X26" s="2340"/>
      <c r="Y26" s="2359">
        <f>Y23*Y25</f>
        <v>0</v>
      </c>
      <c r="Z26" s="2340"/>
      <c r="AA26" s="2340"/>
      <c r="AB26" s="2340"/>
      <c r="AC26" s="2340"/>
      <c r="AD26" s="2359">
        <f>AD23*AD25</f>
        <v>0</v>
      </c>
      <c r="AE26" s="2340"/>
      <c r="AF26" s="2340"/>
      <c r="AG26" s="2340"/>
      <c r="AH26" s="2340"/>
      <c r="AI26" s="2359">
        <f>AI23*AI25</f>
        <v>0</v>
      </c>
      <c r="AJ26" s="2340"/>
      <c r="AK26" s="2340"/>
      <c r="AL26" s="2340"/>
      <c r="AM26" s="2340"/>
    </row>
    <row r="27" spans="1:40" ht="12.95" customHeight="1">
      <c r="A27" s="410"/>
      <c r="B27" s="2393" t="s">
        <v>426</v>
      </c>
      <c r="C27" s="2394"/>
      <c r="D27" s="2394"/>
      <c r="E27" s="2394"/>
      <c r="F27" s="2394"/>
      <c r="G27" s="2394"/>
      <c r="H27" s="2394"/>
      <c r="I27" s="2394"/>
      <c r="J27" s="2394"/>
      <c r="K27" s="2394"/>
      <c r="L27" s="2394"/>
      <c r="M27" s="2394"/>
      <c r="N27" s="2394"/>
      <c r="O27" s="2394"/>
      <c r="P27" s="2394"/>
      <c r="Q27" s="2394"/>
      <c r="R27" s="2394"/>
      <c r="S27" s="2395"/>
      <c r="T27" s="2370">
        <f>Application!$AG$454</f>
        <v>1</v>
      </c>
      <c r="U27" s="2371"/>
      <c r="V27" s="2371"/>
      <c r="W27" s="2371"/>
      <c r="X27" s="2371"/>
      <c r="Y27" s="2370">
        <f>Application!$AG$454</f>
        <v>1</v>
      </c>
      <c r="Z27" s="2371"/>
      <c r="AA27" s="2371"/>
      <c r="AB27" s="2371"/>
      <c r="AC27" s="2371"/>
      <c r="AD27" s="2370">
        <f>Application!$AG$454</f>
        <v>1</v>
      </c>
      <c r="AE27" s="2371"/>
      <c r="AF27" s="2371"/>
      <c r="AG27" s="2371"/>
      <c r="AH27" s="2371"/>
      <c r="AI27" s="2370">
        <f>Application!$AG$454</f>
        <v>1</v>
      </c>
      <c r="AJ27" s="2371"/>
      <c r="AK27" s="2371"/>
      <c r="AL27" s="2371"/>
      <c r="AM27" s="2371"/>
    </row>
    <row r="28" spans="1:40" ht="12.95" customHeight="1">
      <c r="A28" s="404"/>
      <c r="B28" s="2346" t="s">
        <v>505</v>
      </c>
      <c r="C28" s="2347"/>
      <c r="D28" s="2347"/>
      <c r="E28" s="2347"/>
      <c r="F28" s="2347"/>
      <c r="G28" s="2347"/>
      <c r="H28" s="2347"/>
      <c r="I28" s="2347"/>
      <c r="J28" s="2347"/>
      <c r="K28" s="2347"/>
      <c r="L28" s="2347"/>
      <c r="M28" s="2347"/>
      <c r="N28" s="2347"/>
      <c r="O28" s="2347"/>
      <c r="P28" s="2347"/>
      <c r="Q28" s="2347"/>
      <c r="R28" s="2347"/>
      <c r="S28" s="2348"/>
      <c r="T28" s="2359">
        <f>IF(ISERROR((T26*T27)),0,(T26*T27))</f>
        <v>68006346.200000003</v>
      </c>
      <c r="U28" s="2340"/>
      <c r="V28" s="2340"/>
      <c r="W28" s="2340"/>
      <c r="X28" s="2340"/>
      <c r="Y28" s="2359">
        <f>IF(ISERROR((Y26*Y27)),0,(Y26*Y27))</f>
        <v>0</v>
      </c>
      <c r="Z28" s="2340"/>
      <c r="AA28" s="2340"/>
      <c r="AB28" s="2340"/>
      <c r="AC28" s="2340"/>
      <c r="AD28" s="2359">
        <f>IF(ISERROR((AD26*AD27)),0,(AD26*AD27))</f>
        <v>0</v>
      </c>
      <c r="AE28" s="2340"/>
      <c r="AF28" s="2340"/>
      <c r="AG28" s="2340"/>
      <c r="AH28" s="2340"/>
      <c r="AI28" s="2359">
        <f>IF(ISERROR((AI26*AI27)),0,(AI26*AI27))</f>
        <v>0</v>
      </c>
      <c r="AJ28" s="2340"/>
      <c r="AK28" s="2340"/>
      <c r="AL28" s="2340"/>
      <c r="AM28" s="2340"/>
    </row>
    <row r="29" spans="1:40" ht="12.95" customHeight="1">
      <c r="B29" s="2346" t="s">
        <v>522</v>
      </c>
      <c r="C29" s="2347"/>
      <c r="D29" s="2347"/>
      <c r="E29" s="2347"/>
      <c r="F29" s="2347"/>
      <c r="G29" s="2347"/>
      <c r="H29" s="2347"/>
      <c r="I29" s="2347"/>
      <c r="J29" s="2347"/>
      <c r="K29" s="2347"/>
      <c r="L29" s="2347"/>
      <c r="M29" s="2347"/>
      <c r="N29" s="2347"/>
      <c r="O29" s="2347"/>
      <c r="P29" s="2347"/>
      <c r="Q29" s="2347"/>
      <c r="R29" s="2347"/>
      <c r="S29" s="2348"/>
      <c r="T29" s="2350">
        <f>T28+Y28+AD28+AI28</f>
        <v>68006346.200000003</v>
      </c>
      <c r="U29" s="2358"/>
      <c r="V29" s="2358"/>
      <c r="W29" s="2358"/>
      <c r="X29" s="2358"/>
      <c r="Y29" s="2358"/>
      <c r="Z29" s="2358"/>
      <c r="AA29" s="2358"/>
      <c r="AB29" s="2358"/>
      <c r="AC29" s="2358"/>
      <c r="AD29" s="2358"/>
      <c r="AE29" s="2358"/>
      <c r="AF29" s="2358"/>
      <c r="AG29" s="2358"/>
      <c r="AH29" s="2358"/>
      <c r="AI29" s="2358"/>
      <c r="AJ29" s="2358"/>
      <c r="AK29" s="2358"/>
      <c r="AL29" s="2358"/>
      <c r="AM29" s="2359"/>
    </row>
    <row r="30" spans="1:40" ht="12.95" customHeight="1">
      <c r="B30" s="2363" t="s">
        <v>1265</v>
      </c>
      <c r="C30" s="2363"/>
      <c r="D30" s="2363"/>
      <c r="E30" s="2363"/>
      <c r="F30" s="2363"/>
      <c r="G30" s="2363"/>
      <c r="H30" s="2363"/>
      <c r="I30" s="2363"/>
      <c r="J30" s="2363"/>
      <c r="K30" s="2363"/>
      <c r="L30" s="2363"/>
      <c r="M30" s="2363"/>
      <c r="N30" s="2363"/>
      <c r="O30" s="2363"/>
      <c r="P30" s="2363"/>
      <c r="Q30" s="2363"/>
      <c r="R30" s="2363"/>
      <c r="S30" s="2363"/>
      <c r="T30" s="2363"/>
      <c r="U30" s="2363"/>
      <c r="V30" s="2363"/>
      <c r="W30" s="2363"/>
      <c r="X30" s="2363"/>
      <c r="Y30" s="2363"/>
      <c r="Z30" s="2363"/>
      <c r="AA30" s="2363"/>
      <c r="AB30" s="2363"/>
      <c r="AC30" s="2363"/>
      <c r="AD30" s="2363"/>
      <c r="AE30" s="2363"/>
      <c r="AF30" s="2363"/>
      <c r="AG30" s="2363"/>
      <c r="AH30" s="2363"/>
      <c r="AI30" s="2363"/>
      <c r="AJ30" s="2363"/>
      <c r="AK30" s="2363"/>
      <c r="AL30" s="2363"/>
      <c r="AM30" s="2363"/>
    </row>
    <row r="31" spans="1:40" ht="12.95" customHeight="1">
      <c r="B31" s="2363" t="s">
        <v>1264</v>
      </c>
      <c r="C31" s="2363"/>
      <c r="D31" s="2363"/>
      <c r="E31" s="2363"/>
      <c r="F31" s="2363"/>
      <c r="G31" s="2363"/>
      <c r="H31" s="2363"/>
      <c r="I31" s="2363"/>
      <c r="J31" s="2363"/>
      <c r="K31" s="2363"/>
      <c r="L31" s="2363"/>
      <c r="M31" s="2363"/>
      <c r="N31" s="2363"/>
      <c r="O31" s="2363"/>
      <c r="P31" s="2363"/>
      <c r="Q31" s="2363"/>
      <c r="R31" s="2363"/>
      <c r="S31" s="2363"/>
      <c r="T31" s="2363"/>
      <c r="U31" s="2363"/>
      <c r="V31" s="2363"/>
      <c r="W31" s="2363"/>
      <c r="X31" s="2363"/>
      <c r="Y31" s="2363"/>
      <c r="Z31" s="2363"/>
      <c r="AA31" s="2363"/>
      <c r="AB31" s="2363"/>
      <c r="AC31" s="2363"/>
      <c r="AD31" s="2363"/>
      <c r="AE31" s="2363"/>
      <c r="AF31" s="2363"/>
      <c r="AG31" s="2363"/>
      <c r="AH31" s="2363"/>
      <c r="AI31" s="2363"/>
      <c r="AJ31" s="2363"/>
      <c r="AK31" s="2363"/>
      <c r="AL31" s="2363"/>
      <c r="AM31" s="2363"/>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0" t="s">
        <v>1153</v>
      </c>
      <c r="Z35" s="2360"/>
      <c r="AA35" s="2360"/>
      <c r="AB35" s="2360"/>
      <c r="AC35" s="2360"/>
      <c r="AD35" s="2361" t="s">
        <v>369</v>
      </c>
      <c r="AE35" s="2361"/>
      <c r="AF35" s="2361"/>
      <c r="AG35" s="2361"/>
      <c r="AH35" s="2361"/>
    </row>
    <row r="36" spans="1:76" ht="12.95" customHeight="1">
      <c r="B36" s="407"/>
      <c r="X36" s="412"/>
      <c r="Y36" s="2360"/>
      <c r="Z36" s="2360"/>
      <c r="AA36" s="2360"/>
      <c r="AB36" s="2360"/>
      <c r="AC36" s="2360"/>
      <c r="AD36" s="2361"/>
      <c r="AE36" s="2361"/>
      <c r="AF36" s="2361"/>
      <c r="AG36" s="2361"/>
      <c r="AH36" s="2361"/>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0"/>
      <c r="Z37" s="2360"/>
      <c r="AA37" s="2360"/>
      <c r="AB37" s="2360"/>
      <c r="AC37" s="2360"/>
      <c r="AD37" s="2361"/>
      <c r="AE37" s="2361"/>
      <c r="AF37" s="2361"/>
      <c r="AG37" s="2361"/>
      <c r="AH37" s="2361"/>
    </row>
    <row r="38" spans="1:76" ht="12.95" customHeight="1">
      <c r="A38" s="404"/>
      <c r="B38" s="2346" t="s">
        <v>505</v>
      </c>
      <c r="C38" s="2347"/>
      <c r="D38" s="2347"/>
      <c r="E38" s="2347"/>
      <c r="F38" s="2347"/>
      <c r="G38" s="2347"/>
      <c r="H38" s="2347"/>
      <c r="I38" s="2347"/>
      <c r="J38" s="2347"/>
      <c r="K38" s="2347"/>
      <c r="L38" s="2347"/>
      <c r="M38" s="2347"/>
      <c r="N38" s="2347"/>
      <c r="O38" s="2347"/>
      <c r="P38" s="2347"/>
      <c r="Q38" s="2347"/>
      <c r="R38" s="2347"/>
      <c r="S38" s="2347"/>
      <c r="T38" s="2347"/>
      <c r="U38" s="2347"/>
      <c r="V38" s="2347"/>
      <c r="W38" s="2347"/>
      <c r="X38" s="2348"/>
      <c r="Y38" s="2340">
        <f>IF(T24&gt;=(T23+Y23+AD23+AI23),T28+Y28,0)</f>
        <v>68006346.200000003</v>
      </c>
      <c r="Z38" s="2340"/>
      <c r="AA38" s="2340"/>
      <c r="AB38" s="2340"/>
      <c r="AC38" s="2340"/>
      <c r="AD38" s="2340">
        <f>IF(T24&gt;=(T23+Y23+AD23+AI23),AD28+AI28,0)</f>
        <v>0</v>
      </c>
      <c r="AE38" s="2340"/>
      <c r="AF38" s="2340"/>
      <c r="AG38" s="2340"/>
      <c r="AH38" s="2340"/>
    </row>
    <row r="39" spans="1:76" ht="12.95" customHeight="1">
      <c r="B39" s="2346" t="s">
        <v>1679</v>
      </c>
      <c r="C39" s="2347"/>
      <c r="D39" s="2347"/>
      <c r="E39" s="2347"/>
      <c r="F39" s="2347"/>
      <c r="G39" s="2347"/>
      <c r="H39" s="2347"/>
      <c r="I39" s="2347"/>
      <c r="J39" s="2347"/>
      <c r="K39" s="2347"/>
      <c r="L39" s="2347"/>
      <c r="M39" s="2347"/>
      <c r="N39" s="2347"/>
      <c r="O39" s="2347"/>
      <c r="P39" s="2347"/>
      <c r="Q39" s="2347"/>
      <c r="R39" s="2347"/>
      <c r="S39" s="2347"/>
      <c r="T39" s="2347"/>
      <c r="U39" s="2347"/>
      <c r="V39" s="2347"/>
      <c r="W39" s="2347"/>
      <c r="X39" s="2348"/>
      <c r="Y39" s="2362">
        <v>0.04</v>
      </c>
      <c r="Z39" s="2362"/>
      <c r="AA39" s="2362"/>
      <c r="AB39" s="2362"/>
      <c r="AC39" s="2362"/>
      <c r="AD39" s="2362">
        <v>0.04</v>
      </c>
      <c r="AE39" s="2362"/>
      <c r="AF39" s="2362"/>
      <c r="AG39" s="2362"/>
      <c r="AH39" s="2362"/>
    </row>
    <row r="40" spans="1:76" ht="12.95" customHeight="1">
      <c r="A40" s="404"/>
      <c r="B40" s="2346" t="s">
        <v>641</v>
      </c>
      <c r="C40" s="2347"/>
      <c r="D40" s="2347"/>
      <c r="E40" s="2347"/>
      <c r="F40" s="2347"/>
      <c r="G40" s="2347"/>
      <c r="H40" s="2347"/>
      <c r="I40" s="2347"/>
      <c r="J40" s="2347"/>
      <c r="K40" s="2347"/>
      <c r="L40" s="2347"/>
      <c r="M40" s="2347"/>
      <c r="N40" s="2347"/>
      <c r="O40" s="2347"/>
      <c r="P40" s="2347"/>
      <c r="Q40" s="2347"/>
      <c r="R40" s="2347"/>
      <c r="S40" s="2347"/>
      <c r="T40" s="2347"/>
      <c r="U40" s="2347"/>
      <c r="V40" s="2347"/>
      <c r="W40" s="2347"/>
      <c r="X40" s="2348"/>
      <c r="Y40" s="2340">
        <f>ROUND(Y38*Y39,0)</f>
        <v>2720254</v>
      </c>
      <c r="Z40" s="2340"/>
      <c r="AA40" s="2340"/>
      <c r="AB40" s="2340"/>
      <c r="AC40" s="2340"/>
      <c r="AD40" s="2359">
        <f>ROUND(AD38*AD39,0)</f>
        <v>0</v>
      </c>
      <c r="AE40" s="2340"/>
      <c r="AF40" s="2340"/>
      <c r="AG40" s="2340"/>
      <c r="AH40" s="2340"/>
    </row>
    <row r="41" spans="1:76" ht="12.95" customHeight="1">
      <c r="B41" s="2346" t="s">
        <v>642</v>
      </c>
      <c r="C41" s="2347"/>
      <c r="D41" s="2347"/>
      <c r="E41" s="2347"/>
      <c r="F41" s="2347"/>
      <c r="G41" s="2347"/>
      <c r="H41" s="2347"/>
      <c r="I41" s="2347"/>
      <c r="J41" s="2347"/>
      <c r="K41" s="2347"/>
      <c r="L41" s="2347"/>
      <c r="M41" s="2347"/>
      <c r="N41" s="2347"/>
      <c r="O41" s="2347"/>
      <c r="P41" s="2347"/>
      <c r="Q41" s="2347"/>
      <c r="R41" s="2347"/>
      <c r="S41" s="2347"/>
      <c r="T41" s="2347"/>
      <c r="U41" s="2347"/>
      <c r="V41" s="2347"/>
      <c r="W41" s="2347"/>
      <c r="X41" s="2348"/>
      <c r="Y41" s="2350">
        <f>Y40+AD40</f>
        <v>2720254</v>
      </c>
      <c r="Z41" s="2358"/>
      <c r="AA41" s="2358"/>
      <c r="AB41" s="2358"/>
      <c r="AC41" s="2358"/>
      <c r="AD41" s="2358"/>
      <c r="AE41" s="2358"/>
      <c r="AF41" s="2358"/>
      <c r="AG41" s="2358"/>
      <c r="AH41" s="2359"/>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7" t="s">
        <v>1275</v>
      </c>
      <c r="B44" s="2357"/>
      <c r="C44" s="2357"/>
      <c r="D44" s="2357"/>
      <c r="E44" s="2357"/>
      <c r="F44" s="2357"/>
      <c r="G44" s="2357"/>
      <c r="H44" s="2357"/>
      <c r="I44" s="2357"/>
      <c r="J44" s="2357"/>
      <c r="K44" s="2357"/>
      <c r="L44" s="2357"/>
      <c r="M44" s="2357"/>
      <c r="N44" s="2357"/>
      <c r="O44" s="2357"/>
      <c r="P44" s="2357"/>
      <c r="Q44" s="2357"/>
      <c r="R44" s="2357"/>
      <c r="S44" s="2357"/>
      <c r="T44" s="2357"/>
      <c r="U44" s="2357"/>
      <c r="V44" s="2357"/>
      <c r="W44" s="2357"/>
      <c r="X44" s="2357"/>
      <c r="Y44" s="2357"/>
      <c r="Z44" s="2357"/>
      <c r="AA44" s="2357"/>
      <c r="AB44" s="2357"/>
      <c r="AC44" s="2357"/>
      <c r="AD44" s="2357"/>
      <c r="AE44" s="2357"/>
      <c r="AF44" s="2357"/>
      <c r="AG44" s="2357"/>
      <c r="AH44" s="2357"/>
      <c r="AI44" s="2357"/>
      <c r="AJ44" s="2357"/>
      <c r="AK44" s="2357"/>
      <c r="AL44" s="2357"/>
      <c r="AM44" s="2357"/>
      <c r="AN44" s="2357"/>
      <c r="AO44" s="2357"/>
      <c r="AP44" s="2357"/>
      <c r="AQ44" s="2357"/>
      <c r="AR44" s="2357"/>
      <c r="AS44" s="2357"/>
      <c r="AT44" s="2357"/>
      <c r="AU44" s="2357"/>
      <c r="AV44" s="2357"/>
      <c r="AW44" s="2357"/>
      <c r="AX44" s="2357"/>
      <c r="AY44" s="2357"/>
      <c r="AZ44" s="2357"/>
      <c r="BA44" s="2357"/>
      <c r="BB44" s="2357"/>
      <c r="BC44" s="2357"/>
      <c r="BD44" s="2357"/>
      <c r="BE44" s="2357"/>
      <c r="BF44" s="2357"/>
      <c r="BG44" s="2357"/>
      <c r="BH44" s="2357"/>
      <c r="BI44" s="2357"/>
      <c r="BJ44" s="2357"/>
      <c r="BK44" s="2357"/>
      <c r="BL44" s="2357"/>
      <c r="BM44" s="2357"/>
      <c r="BN44" s="2357"/>
      <c r="BO44" s="2357"/>
      <c r="BP44" s="2357"/>
      <c r="BQ44" s="2357"/>
      <c r="BR44" s="2357"/>
      <c r="BS44" s="2357"/>
      <c r="BT44" s="2357"/>
      <c r="BU44" s="2357"/>
      <c r="BV44" s="2357"/>
      <c r="BW44" s="2357"/>
      <c r="BX44" s="2357"/>
    </row>
    <row r="45" spans="1:76" s="204" customFormat="1" ht="12.95" customHeight="1" thickTop="1"/>
    <row r="46" spans="1:76" ht="12.95" customHeight="1">
      <c r="A46" s="404" t="s">
        <v>585</v>
      </c>
      <c r="C46" s="404" t="s">
        <v>282</v>
      </c>
    </row>
    <row r="47" spans="1:76" ht="12.95" customHeight="1">
      <c r="D47" s="404" t="s">
        <v>283</v>
      </c>
      <c r="AB47" s="2354">
        <f>'Sources and Uses Budget'!B105-MAX(IF('Sources and Uses Budget'!B15="",0,'Sources and Uses Budget'!B15),IF(Application!AG403="",0,Application!AG403))</f>
        <v>62606754</v>
      </c>
      <c r="AC47" s="2355"/>
      <c r="AD47" s="2355"/>
      <c r="AE47" s="2355"/>
      <c r="AF47" s="2356"/>
    </row>
    <row r="48" spans="1:76" ht="12.95" customHeight="1">
      <c r="D48" s="404" t="s">
        <v>21</v>
      </c>
      <c r="AB48" s="2354">
        <f>Application!AO647-MAX(IF('Sources and Uses Budget'!B15="",0,'Sources and Uses Budget'!B15),IF(Application!AG403="",0,Application!AG403))</f>
        <v>40302911</v>
      </c>
      <c r="AC48" s="2355"/>
      <c r="AD48" s="2355"/>
      <c r="AE48" s="2355"/>
      <c r="AF48" s="2356"/>
    </row>
    <row r="49" spans="1:76" ht="12.95" customHeight="1">
      <c r="D49" s="404" t="s">
        <v>91</v>
      </c>
      <c r="AB49" s="2354">
        <f>AB47-AB48</f>
        <v>22303843</v>
      </c>
      <c r="AC49" s="2355"/>
      <c r="AD49" s="2355"/>
      <c r="AE49" s="2355"/>
      <c r="AF49" s="2356"/>
    </row>
    <row r="50" spans="1:76" ht="12.95" customHeight="1">
      <c r="D50" s="404" t="s">
        <v>680</v>
      </c>
      <c r="AA50" s="415"/>
      <c r="AB50" s="2342">
        <f>AB49/(Y41*10)</f>
        <v>0.81991766210067152</v>
      </c>
      <c r="AC50" s="2343"/>
      <c r="AD50" s="2343"/>
      <c r="AE50" s="2343"/>
      <c r="AF50" s="2344"/>
    </row>
    <row r="51" spans="1:76" s="417" customFormat="1" ht="12.95" customHeight="1">
      <c r="A51" s="402"/>
      <c r="B51" s="402"/>
      <c r="C51" s="402"/>
      <c r="D51" s="402"/>
      <c r="E51" s="2353" t="s">
        <v>2528</v>
      </c>
      <c r="F51" s="2353"/>
      <c r="G51" s="2353"/>
      <c r="H51" s="2353"/>
      <c r="I51" s="2353"/>
      <c r="J51" s="2353"/>
      <c r="K51" s="2353"/>
      <c r="L51" s="2353"/>
      <c r="M51" s="2353"/>
      <c r="N51" s="2353"/>
      <c r="O51" s="2353"/>
      <c r="P51" s="2353"/>
      <c r="Q51" s="2353"/>
      <c r="R51" s="2353"/>
      <c r="S51" s="2353"/>
      <c r="T51" s="2353"/>
      <c r="U51" s="2353"/>
      <c r="V51" s="2353"/>
      <c r="W51" s="2353"/>
      <c r="X51" s="2353"/>
      <c r="Y51" s="2353"/>
      <c r="Z51" s="2353"/>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3"/>
      <c r="F52" s="2353"/>
      <c r="G52" s="2353"/>
      <c r="H52" s="2353"/>
      <c r="I52" s="2353"/>
      <c r="J52" s="2353"/>
      <c r="K52" s="2353"/>
      <c r="L52" s="2353"/>
      <c r="M52" s="2353"/>
      <c r="N52" s="2353"/>
      <c r="O52" s="2353"/>
      <c r="P52" s="2353"/>
      <c r="Q52" s="2353"/>
      <c r="R52" s="2353"/>
      <c r="S52" s="2353"/>
      <c r="T52" s="2353"/>
      <c r="U52" s="2353"/>
      <c r="V52" s="2353"/>
      <c r="W52" s="2353"/>
      <c r="X52" s="2353"/>
      <c r="Y52" s="2353"/>
      <c r="Z52" s="2353"/>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4">
        <f>ROUND(IF(ISERROR((AB49/AB50)),0,(AB49/AB50)),0)</f>
        <v>27202540</v>
      </c>
      <c r="AC54" s="2355"/>
      <c r="AD54" s="2355"/>
      <c r="AE54" s="2355"/>
      <c r="AF54" s="2356"/>
    </row>
    <row r="55" spans="1:76" ht="12.95" customHeight="1">
      <c r="D55" s="404" t="s">
        <v>333</v>
      </c>
      <c r="AB55" s="2354">
        <f>(AB54/10)</f>
        <v>2720254</v>
      </c>
      <c r="AC55" s="2355"/>
      <c r="AD55" s="2355"/>
      <c r="AE55" s="2355"/>
      <c r="AF55" s="2356"/>
    </row>
    <row r="56" spans="1:76" ht="12.95" customHeight="1">
      <c r="D56" s="404" t="s">
        <v>755</v>
      </c>
      <c r="AB56" s="2354">
        <f>ROUND((IF((Y41&lt;AB55),Y41,AB55)),0)</f>
        <v>2720254</v>
      </c>
      <c r="AC56" s="2355"/>
      <c r="AD56" s="2355"/>
      <c r="AE56" s="2355"/>
      <c r="AF56" s="2356"/>
    </row>
    <row r="57" spans="1:76" ht="12.95" customHeight="1">
      <c r="D57" s="404" t="s">
        <v>754</v>
      </c>
      <c r="AB57" s="2354">
        <f>ROUND((10*AB56*AB50),0)</f>
        <v>22303843</v>
      </c>
      <c r="AC57" s="2355"/>
      <c r="AD57" s="2355"/>
      <c r="AE57" s="2355"/>
      <c r="AF57" s="2356"/>
    </row>
    <row r="58" spans="1:76" ht="12.95" customHeight="1">
      <c r="D58" s="404"/>
      <c r="AB58" s="423"/>
      <c r="AC58" s="423"/>
      <c r="AD58" s="423"/>
      <c r="AE58" s="423"/>
      <c r="AF58" s="423"/>
    </row>
    <row r="59" spans="1:76" ht="12.95" customHeight="1">
      <c r="D59" s="404" t="s">
        <v>753</v>
      </c>
      <c r="AB59" s="2338">
        <f>AB49-AB57</f>
        <v>0</v>
      </c>
      <c r="AC59" s="2338"/>
      <c r="AD59" s="2338"/>
      <c r="AE59" s="2338"/>
      <c r="AF59" s="2338"/>
    </row>
    <row r="60" spans="1:76" ht="12.95" customHeight="1">
      <c r="D60" s="404"/>
      <c r="AB60" s="423"/>
      <c r="AC60" s="423"/>
      <c r="AD60" s="423"/>
      <c r="AE60" s="423"/>
      <c r="AF60" s="423"/>
    </row>
    <row r="61" spans="1:76" s="204" customFormat="1" ht="12.95" customHeight="1" thickBot="1">
      <c r="A61" s="2357" t="str">
        <f>IF(Application!AP205="yes","Farmworker State Credit", "State Credit" )</f>
        <v>State Credit</v>
      </c>
      <c r="B61" s="2357"/>
      <c r="C61" s="2357"/>
      <c r="D61" s="2357"/>
      <c r="E61" s="2357"/>
      <c r="F61" s="2357"/>
      <c r="G61" s="2357"/>
      <c r="H61" s="2357"/>
      <c r="I61" s="2357"/>
      <c r="J61" s="2357"/>
      <c r="K61" s="2357"/>
      <c r="L61" s="2357"/>
      <c r="M61" s="2357"/>
      <c r="N61" s="2357"/>
      <c r="O61" s="2357"/>
      <c r="P61" s="2357"/>
      <c r="Q61" s="2357"/>
      <c r="R61" s="2357"/>
      <c r="S61" s="2357"/>
      <c r="T61" s="2357"/>
      <c r="U61" s="2357"/>
      <c r="V61" s="2357"/>
      <c r="W61" s="2357"/>
      <c r="X61" s="2357"/>
      <c r="Y61" s="2357"/>
      <c r="Z61" s="2357"/>
      <c r="AA61" s="2357"/>
      <c r="AB61" s="2357"/>
      <c r="AC61" s="2357"/>
      <c r="AD61" s="2357"/>
      <c r="AE61" s="2357"/>
      <c r="AF61" s="2357"/>
      <c r="AG61" s="2357"/>
      <c r="AH61" s="2357"/>
      <c r="AI61" s="2357"/>
      <c r="AJ61" s="2357"/>
      <c r="AK61" s="2357"/>
      <c r="AL61" s="2357"/>
      <c r="AM61" s="2357"/>
      <c r="AN61" s="2357"/>
      <c r="AO61" s="2357"/>
      <c r="AP61" s="2357"/>
      <c r="AQ61" s="2357"/>
      <c r="AR61" s="2357"/>
      <c r="AS61" s="2357"/>
      <c r="AT61" s="2357"/>
      <c r="AU61" s="2357"/>
      <c r="AV61" s="2357"/>
      <c r="AW61" s="2357"/>
      <c r="AX61" s="2357"/>
      <c r="AY61" s="2357"/>
      <c r="AZ61" s="2357"/>
      <c r="BA61" s="2357"/>
      <c r="BB61" s="2357"/>
      <c r="BC61" s="2357"/>
      <c r="BD61" s="2357"/>
      <c r="BE61" s="2357"/>
      <c r="BF61" s="2357"/>
      <c r="BG61" s="2357"/>
      <c r="BH61" s="2357"/>
      <c r="BI61" s="2357"/>
      <c r="BJ61" s="2357"/>
      <c r="BK61" s="2357"/>
      <c r="BL61" s="2357"/>
      <c r="BM61" s="2357"/>
      <c r="BN61" s="2357"/>
      <c r="BO61" s="2357"/>
      <c r="BP61" s="2357"/>
      <c r="BQ61" s="2357"/>
      <c r="BR61" s="2357"/>
      <c r="BS61" s="2357"/>
      <c r="BT61" s="2357"/>
      <c r="BU61" s="2357"/>
      <c r="BV61" s="2357"/>
      <c r="BW61" s="2357"/>
      <c r="BX61" s="2357"/>
    </row>
    <row r="62" spans="1:76" s="204" customFormat="1" ht="12.95" customHeight="1" thickTop="1"/>
    <row r="63" spans="1:76" ht="12.95" customHeight="1">
      <c r="A63" s="404" t="s">
        <v>588</v>
      </c>
      <c r="C63" s="205" t="s">
        <v>1247</v>
      </c>
      <c r="Y63" s="2349" t="s">
        <v>983</v>
      </c>
      <c r="Z63" s="2349"/>
      <c r="AA63" s="2349"/>
      <c r="AB63" s="2349"/>
      <c r="AC63" s="2349"/>
      <c r="AD63" s="2349" t="s">
        <v>369</v>
      </c>
      <c r="AE63" s="2349"/>
      <c r="AF63" s="2349"/>
      <c r="AG63" s="2349"/>
      <c r="AH63" s="2349"/>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50">
        <f>IF(Application!$Z$205="(select)",0,((T23*T27)+Y28))</f>
        <v>0</v>
      </c>
      <c r="Z64" s="2351"/>
      <c r="AA64" s="2351"/>
      <c r="AB64" s="2351"/>
      <c r="AC64" s="2352"/>
      <c r="AD64" s="2350">
        <f>IF(AND(OR(Application!D211="At-Risk",Application!D211="At-Risk and Special Needs"),Application!M367="yes"),AD28+AI28,0)</f>
        <v>0</v>
      </c>
      <c r="AE64" s="2351"/>
      <c r="AF64" s="2351"/>
      <c r="AG64" s="2351"/>
      <c r="AH64" s="2352"/>
    </row>
    <row r="65" spans="1:37" ht="12.95"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9">
        <f>IF(OR(Application!Z205="State Farmworker Credit",Application!Z205="$500M (Farmworker Housing)"),0.75,IF(Application!Z205="15% set-aside",0.13,IF(Application!Z205="15% set-aside with qualifying low value rehab",0.95,IF(Application!Z205="$500M",0.3,0))))</f>
        <v>0</v>
      </c>
      <c r="Z67" s="2339"/>
      <c r="AA67" s="2339"/>
      <c r="AB67" s="2339"/>
      <c r="AC67" s="2339"/>
      <c r="AD67" s="2339">
        <f>IF(Application!Z205="15% set-aside with qualifying low value rehab", 0.95,IF(OR(Application!D211="At-Risk",'Points System'!B26="Yes"),0.13,0))</f>
        <v>0</v>
      </c>
      <c r="AE67" s="2339"/>
      <c r="AF67" s="2339"/>
      <c r="AG67" s="2339"/>
      <c r="AH67" s="2339"/>
    </row>
    <row r="68" spans="1:37" ht="12.95" customHeight="1">
      <c r="C68" s="404"/>
      <c r="D68" s="205" t="s">
        <v>2177</v>
      </c>
      <c r="Y68" s="2340">
        <f>IF(AND(T25=1.3,OR(Y67=0.13,Y67=0.95),NOT(Application!T212&gt;=50%)),0,ROUND(Y64*Y67,0))</f>
        <v>0</v>
      </c>
      <c r="Z68" s="2341"/>
      <c r="AA68" s="2341"/>
      <c r="AB68" s="2341"/>
      <c r="AC68" s="2341"/>
      <c r="AD68" s="2340">
        <f>IF(AND(T25=1.3,AD67&gt;0,NOT(Application!T212&gt;=50%)),0,ROUND(AD64*AD67,0))</f>
        <v>0</v>
      </c>
      <c r="AE68" s="2341"/>
      <c r="AF68" s="2341"/>
      <c r="AG68" s="2341"/>
      <c r="AH68" s="2341"/>
      <c r="AK68" s="1192"/>
    </row>
    <row r="69" spans="1:37" ht="12.95" customHeight="1">
      <c r="C69" s="404"/>
      <c r="D69" s="205" t="s">
        <v>2178</v>
      </c>
      <c r="Y69" s="2340">
        <f>IF(OR(Application!Z205="State Farmworker Credit",Application!Z205="$500M (Farmworker Housing)"),Y68+AD68,MIN(Y68+AD68,200000*(Application!G761+Application!O785)))</f>
        <v>0</v>
      </c>
      <c r="Z69" s="2340"/>
      <c r="AA69" s="2340"/>
      <c r="AB69" s="2340"/>
      <c r="AC69" s="2340"/>
      <c r="AD69" s="2340"/>
      <c r="AE69" s="2340"/>
      <c r="AF69" s="2340"/>
      <c r="AG69" s="2340"/>
      <c r="AH69" s="2340"/>
    </row>
    <row r="70" spans="1:37" ht="12.95" customHeight="1">
      <c r="C70" s="404"/>
      <c r="E70" s="404"/>
      <c r="AB70" s="422"/>
      <c r="AC70" s="422"/>
      <c r="AD70" s="422"/>
      <c r="AE70" s="422"/>
      <c r="AF70" s="422"/>
    </row>
    <row r="71" spans="1:37" ht="12.95" customHeight="1">
      <c r="A71" s="404" t="s">
        <v>589</v>
      </c>
      <c r="C71" s="205" t="s">
        <v>284</v>
      </c>
    </row>
    <row r="72" spans="1:37" ht="12.95" customHeight="1">
      <c r="A72" s="404"/>
      <c r="C72" s="404"/>
      <c r="D72" s="205" t="s">
        <v>1249</v>
      </c>
      <c r="AB72" s="2342"/>
      <c r="AC72" s="2343"/>
      <c r="AD72" s="2343"/>
      <c r="AE72" s="2343"/>
      <c r="AF72" s="2344"/>
    </row>
    <row r="73" spans="1:37" ht="12.95" customHeight="1">
      <c r="A73" s="404"/>
      <c r="C73" s="404"/>
      <c r="D73" s="404"/>
      <c r="E73" s="2345" t="s">
        <v>1250</v>
      </c>
      <c r="F73" s="2345"/>
      <c r="G73" s="2345"/>
      <c r="H73" s="2345"/>
      <c r="I73" s="2345"/>
      <c r="J73" s="2345"/>
      <c r="K73" s="2345"/>
      <c r="L73" s="2345"/>
      <c r="M73" s="2345"/>
      <c r="N73" s="2345"/>
      <c r="O73" s="2345"/>
      <c r="P73" s="2345"/>
      <c r="Q73" s="2345"/>
      <c r="R73" s="2345"/>
      <c r="S73" s="2345"/>
      <c r="T73" s="2345"/>
      <c r="U73" s="2345"/>
      <c r="V73" s="2345"/>
      <c r="W73" s="2345"/>
      <c r="X73" s="2345"/>
      <c r="Y73" s="2345"/>
      <c r="Z73" s="2345"/>
      <c r="AA73" s="2345"/>
      <c r="AB73" s="438"/>
      <c r="AC73" s="438"/>
    </row>
    <row r="74" spans="1:37" ht="12.95" customHeight="1">
      <c r="A74" s="404"/>
      <c r="C74" s="404"/>
      <c r="D74" s="404"/>
      <c r="E74" s="2345"/>
      <c r="F74" s="2345"/>
      <c r="G74" s="2345"/>
      <c r="H74" s="2345"/>
      <c r="I74" s="2345"/>
      <c r="J74" s="2345"/>
      <c r="K74" s="2345"/>
      <c r="L74" s="2345"/>
      <c r="M74" s="2345"/>
      <c r="N74" s="2345"/>
      <c r="O74" s="2345"/>
      <c r="P74" s="2345"/>
      <c r="Q74" s="2345"/>
      <c r="R74" s="2345"/>
      <c r="S74" s="2345"/>
      <c r="T74" s="2345"/>
      <c r="U74" s="2345"/>
      <c r="V74" s="2345"/>
      <c r="W74" s="2345"/>
      <c r="X74" s="2345"/>
      <c r="Y74" s="2345"/>
      <c r="Z74" s="2345"/>
      <c r="AA74" s="2345"/>
      <c r="AB74" s="438"/>
      <c r="AC74" s="438"/>
    </row>
    <row r="75" spans="1:37" ht="12.95" customHeight="1">
      <c r="A75" s="404"/>
      <c r="C75" s="404"/>
      <c r="D75" s="404"/>
      <c r="E75" s="2345"/>
      <c r="F75" s="2345"/>
      <c r="G75" s="2345"/>
      <c r="H75" s="2345"/>
      <c r="I75" s="2345"/>
      <c r="J75" s="2345"/>
      <c r="K75" s="2345"/>
      <c r="L75" s="2345"/>
      <c r="M75" s="2345"/>
      <c r="N75" s="2345"/>
      <c r="O75" s="2345"/>
      <c r="P75" s="2345"/>
      <c r="Q75" s="2345"/>
      <c r="R75" s="2345"/>
      <c r="S75" s="2345"/>
      <c r="T75" s="2345"/>
      <c r="U75" s="2345"/>
      <c r="V75" s="2345"/>
      <c r="W75" s="2345"/>
      <c r="X75" s="2345"/>
      <c r="Y75" s="2345"/>
      <c r="Z75" s="2345"/>
      <c r="AA75" s="2345"/>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1251</v>
      </c>
      <c r="AB77" s="2333">
        <f>ROUND(IF(ISERROR((AB59/AB72)),0,(AB59/AB72)),0)</f>
        <v>0</v>
      </c>
      <c r="AC77" s="2333"/>
      <c r="AD77" s="2333"/>
      <c r="AE77" s="2333"/>
      <c r="AF77" s="2333"/>
    </row>
    <row r="78" spans="1:37" ht="12.95" customHeight="1">
      <c r="C78" s="404"/>
      <c r="D78" s="205" t="s">
        <v>1252</v>
      </c>
      <c r="AB78" s="2334">
        <f>ROUNDUP(MIN(Y69,AB77),0)</f>
        <v>0</v>
      </c>
      <c r="AC78" s="2335"/>
      <c r="AD78" s="2335"/>
      <c r="AE78" s="2335"/>
      <c r="AF78" s="2336"/>
    </row>
    <row r="79" spans="1:37" ht="12.95" customHeight="1">
      <c r="C79" s="404"/>
      <c r="D79" s="205" t="s">
        <v>1253</v>
      </c>
      <c r="AB79" s="2337">
        <f>AB78*AB72</f>
        <v>0</v>
      </c>
      <c r="AC79" s="2337"/>
      <c r="AD79" s="2337"/>
      <c r="AE79" s="2337"/>
      <c r="AF79" s="2337"/>
    </row>
    <row r="80" spans="1:37" ht="12.95" customHeight="1">
      <c r="C80" s="404"/>
      <c r="D80" s="404"/>
      <c r="AB80" s="425"/>
      <c r="AC80" s="425"/>
      <c r="AD80" s="425"/>
      <c r="AE80" s="425"/>
      <c r="AF80" s="425"/>
    </row>
    <row r="81" spans="1:78" ht="12.95" customHeight="1">
      <c r="D81" s="404" t="s">
        <v>753</v>
      </c>
      <c r="AB81" s="2338">
        <f>AB49-(AB57+AB79)</f>
        <v>0</v>
      </c>
      <c r="AC81" s="2338"/>
      <c r="AD81" s="2338"/>
      <c r="AE81" s="2338"/>
      <c r="AF81" s="2338"/>
    </row>
    <row r="82" spans="1:78" ht="12.95" customHeight="1">
      <c r="F82" s="522"/>
      <c r="J82" s="522" t="str">
        <f>IF(AB81&gt;0,"FUNDING GAP MUST NOT EXCEED ZERO","")</f>
        <v/>
      </c>
    </row>
    <row r="83" spans="1:78" ht="12.95" customHeight="1">
      <c r="D83" s="523"/>
    </row>
    <row r="84" spans="1:78" ht="12.95" customHeight="1" thickBot="1">
      <c r="A84" s="2357"/>
      <c r="B84" s="2357"/>
      <c r="C84" s="2357"/>
      <c r="D84" s="2357"/>
      <c r="E84" s="2357"/>
      <c r="F84" s="2357"/>
      <c r="G84" s="2357"/>
      <c r="H84" s="2357"/>
      <c r="I84" s="2357"/>
      <c r="J84" s="2357"/>
      <c r="K84" s="2357"/>
      <c r="L84" s="2357"/>
      <c r="M84" s="2357"/>
      <c r="N84" s="2357"/>
      <c r="O84" s="2357"/>
      <c r="P84" s="2357"/>
      <c r="Q84" s="2357"/>
      <c r="R84" s="2357"/>
      <c r="S84" s="2357"/>
      <c r="T84" s="2357"/>
      <c r="U84" s="2357"/>
      <c r="V84" s="2357"/>
      <c r="W84" s="2357"/>
      <c r="X84" s="2357"/>
      <c r="Y84" s="2357"/>
      <c r="Z84" s="2357"/>
      <c r="AA84" s="2357"/>
      <c r="AB84" s="2357"/>
      <c r="AC84" s="2357"/>
      <c r="AD84" s="2357"/>
      <c r="AE84" s="2357"/>
      <c r="AF84" s="2357"/>
      <c r="AG84" s="2357"/>
      <c r="AH84" s="2357"/>
      <c r="AI84" s="2357"/>
      <c r="AJ84" s="2357"/>
      <c r="AK84" s="2357"/>
      <c r="AL84" s="2357"/>
      <c r="AM84" s="2357"/>
      <c r="AN84" s="2357"/>
      <c r="AO84" s="2357"/>
      <c r="AP84" s="2357"/>
      <c r="AQ84" s="2357"/>
      <c r="AR84" s="2357"/>
      <c r="AS84" s="2357"/>
      <c r="AT84" s="2357"/>
      <c r="AU84" s="2357"/>
      <c r="AV84" s="2357"/>
      <c r="AW84" s="2357"/>
      <c r="AX84" s="2357"/>
      <c r="AY84" s="2357"/>
      <c r="AZ84" s="2357"/>
      <c r="BA84" s="2357"/>
      <c r="BB84" s="2357"/>
      <c r="BC84" s="2357"/>
      <c r="BD84" s="2357"/>
      <c r="BE84" s="2357"/>
      <c r="BF84" s="2357"/>
      <c r="BG84" s="2357"/>
      <c r="BH84" s="2357"/>
      <c r="BI84" s="2357"/>
      <c r="BJ84" s="2357"/>
      <c r="BK84" s="2357"/>
      <c r="BL84" s="2357"/>
      <c r="BM84" s="2357"/>
      <c r="BN84" s="2357"/>
      <c r="BO84" s="2357"/>
      <c r="BP84" s="2357"/>
      <c r="BQ84" s="2357"/>
      <c r="BR84" s="2357"/>
      <c r="BS84" s="2357"/>
      <c r="BT84" s="2357"/>
      <c r="BU84" s="2357"/>
      <c r="BV84" s="2357"/>
      <c r="BW84" s="2357"/>
      <c r="BX84" s="2357"/>
    </row>
    <row r="85" spans="1:78" ht="12.95" customHeight="1" thickTop="1"/>
    <row r="86" spans="1:78" ht="12.95" hidden="1" customHeight="1">
      <c r="A86" s="404"/>
      <c r="C86" s="205"/>
    </row>
    <row r="87" spans="1:78" ht="12.95" hidden="1" customHeight="1">
      <c r="D87" s="205"/>
      <c r="AB87" s="2389"/>
      <c r="AC87" s="2389"/>
      <c r="AD87" s="2389"/>
      <c r="AE87" s="2389"/>
      <c r="AF87" s="2389"/>
    </row>
    <row r="88" spans="1:78" ht="12.95" hidden="1" customHeight="1" thickBot="1">
      <c r="D88" s="205"/>
      <c r="AB88" s="2388"/>
      <c r="AC88" s="2388"/>
      <c r="AD88" s="2388"/>
      <c r="AE88" s="2388"/>
      <c r="AF88" s="2388"/>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zoomScale="115" zoomScaleNormal="115" workbookViewId="0">
      <selection activeCell="AM19" sqref="AM1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32" t="s">
        <v>1298</v>
      </c>
      <c r="B1" s="2432"/>
      <c r="C1" s="2432"/>
      <c r="D1" s="2432"/>
      <c r="E1" s="2432"/>
      <c r="F1" s="2432"/>
      <c r="G1" s="2432"/>
      <c r="H1" s="2432"/>
      <c r="I1" s="2432"/>
      <c r="J1" s="2432"/>
      <c r="K1" s="2432"/>
      <c r="L1" s="2432"/>
      <c r="M1" s="2432"/>
      <c r="N1" s="2432"/>
      <c r="O1" s="2432"/>
      <c r="P1" s="2432"/>
      <c r="Q1" s="2432"/>
      <c r="R1" s="2432"/>
      <c r="S1" s="2432"/>
      <c r="T1" s="2432"/>
      <c r="U1" s="2432"/>
      <c r="V1" s="2432"/>
      <c r="W1" s="2432"/>
      <c r="X1" s="2432"/>
      <c r="Y1" s="2432"/>
      <c r="Z1" s="2432"/>
      <c r="AA1" s="2432"/>
      <c r="AB1" s="2432"/>
      <c r="AC1" s="2432"/>
      <c r="AD1" s="2432"/>
      <c r="AE1" s="2432"/>
      <c r="AF1" s="2432"/>
      <c r="AG1" s="2432"/>
      <c r="AH1" s="2432"/>
      <c r="AI1" s="2432"/>
      <c r="AJ1" s="2432"/>
      <c r="AK1" s="2432"/>
      <c r="AL1" s="2432"/>
      <c r="AM1" s="2432"/>
    </row>
    <row r="2" spans="1:41" s="536" customFormat="1" ht="12.75" customHeight="1" thickBot="1">
      <c r="A2" s="2433"/>
      <c r="B2" s="2433"/>
      <c r="C2" s="2433"/>
      <c r="D2" s="2433"/>
      <c r="E2" s="2433"/>
      <c r="F2" s="2433"/>
      <c r="G2" s="2433"/>
      <c r="H2" s="2433"/>
      <c r="I2" s="2433"/>
      <c r="J2" s="2433"/>
      <c r="K2" s="2433"/>
      <c r="L2" s="2433"/>
      <c r="M2" s="2433"/>
      <c r="N2" s="2433"/>
      <c r="O2" s="2433"/>
      <c r="P2" s="2433"/>
      <c r="Q2" s="2433"/>
      <c r="R2" s="2433"/>
      <c r="S2" s="2433"/>
      <c r="T2" s="2433"/>
      <c r="U2" s="2433"/>
      <c r="V2" s="2433"/>
      <c r="W2" s="2433"/>
      <c r="X2" s="2433"/>
      <c r="Y2" s="2433"/>
      <c r="Z2" s="2433"/>
      <c r="AA2" s="2433"/>
      <c r="AB2" s="2433"/>
      <c r="AC2" s="2433"/>
      <c r="AD2" s="2433"/>
      <c r="AE2" s="2433"/>
      <c r="AF2" s="2433"/>
      <c r="AG2" s="2433"/>
      <c r="AH2" s="2433"/>
      <c r="AI2" s="2433"/>
      <c r="AJ2" s="2433"/>
      <c r="AK2" s="2433"/>
      <c r="AL2" s="2433"/>
      <c r="AM2" s="2433"/>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1301</v>
      </c>
      <c r="B7" s="539" t="s">
        <v>2541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25" t="s">
        <v>1302</v>
      </c>
      <c r="AF7" s="2425"/>
      <c r="AG7" s="2425"/>
      <c r="AH7" s="2425"/>
      <c r="AI7" s="2425"/>
      <c r="AJ7" s="2425"/>
      <c r="AK7" s="2425"/>
      <c r="AL7" s="540"/>
      <c r="AM7" s="540"/>
      <c r="AN7" s="535"/>
    </row>
    <row r="8" spans="1:41" s="536" customFormat="1" ht="12.75" customHeight="1">
      <c r="A8" s="538"/>
      <c r="B8" s="539" t="s">
        <v>2630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2544</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97" t="s">
        <v>590</v>
      </c>
      <c r="C12" s="2397"/>
      <c r="D12" s="540"/>
      <c r="E12" s="2413" t="s">
        <v>2542</v>
      </c>
      <c r="F12" s="2414"/>
      <c r="G12" s="2414"/>
      <c r="H12" s="2414"/>
      <c r="I12" s="2414"/>
      <c r="J12" s="2414"/>
      <c r="K12" s="2414"/>
      <c r="L12" s="2414"/>
      <c r="M12" s="2414"/>
      <c r="N12" s="2414"/>
      <c r="O12" s="2414"/>
      <c r="P12" s="2414"/>
      <c r="Q12" s="2414"/>
      <c r="R12" s="2414"/>
      <c r="S12" s="2414"/>
      <c r="T12" s="2414"/>
      <c r="U12" s="2414"/>
      <c r="V12" s="2414"/>
      <c r="W12" s="2414"/>
      <c r="X12" s="2414"/>
      <c r="Y12" s="2414"/>
      <c r="Z12" s="2414"/>
      <c r="AA12" s="2414"/>
      <c r="AB12" s="2414"/>
      <c r="AC12" s="2414"/>
      <c r="AD12" s="2414"/>
      <c r="AE12" s="2414"/>
      <c r="AF12" s="2414"/>
      <c r="AG12" s="2414"/>
      <c r="AH12" s="2414"/>
      <c r="AI12" s="2414"/>
      <c r="AJ12" s="2415"/>
      <c r="AK12" s="540"/>
      <c r="AL12" s="540"/>
      <c r="AM12" s="540"/>
      <c r="AN12" s="535"/>
      <c r="AO12" s="557"/>
    </row>
    <row r="13" spans="1:41" s="536" customFormat="1" ht="12.75" customHeight="1">
      <c r="A13" s="540"/>
      <c r="D13" s="546"/>
      <c r="E13" s="2442"/>
      <c r="F13" s="2443"/>
      <c r="G13" s="2443"/>
      <c r="H13" s="2443"/>
      <c r="I13" s="2443"/>
      <c r="J13" s="2443"/>
      <c r="K13" s="2443"/>
      <c r="L13" s="2443"/>
      <c r="M13" s="2443"/>
      <c r="N13" s="2443"/>
      <c r="O13" s="2443"/>
      <c r="P13" s="2443"/>
      <c r="Q13" s="2443"/>
      <c r="R13" s="2443"/>
      <c r="S13" s="2443"/>
      <c r="T13" s="2443"/>
      <c r="U13" s="2443"/>
      <c r="V13" s="2443"/>
      <c r="W13" s="2443"/>
      <c r="X13" s="2443"/>
      <c r="Y13" s="2443"/>
      <c r="Z13" s="2443"/>
      <c r="AA13" s="2443"/>
      <c r="AB13" s="2443"/>
      <c r="AC13" s="2443"/>
      <c r="AD13" s="2443"/>
      <c r="AE13" s="2443"/>
      <c r="AF13" s="2443"/>
      <c r="AG13" s="2443"/>
      <c r="AH13" s="2443"/>
      <c r="AI13" s="2443"/>
      <c r="AJ13" s="2444"/>
      <c r="AK13" s="540"/>
      <c r="AL13" s="540"/>
      <c r="AM13" s="540"/>
      <c r="AN13" s="535"/>
      <c r="AO13" s="557"/>
    </row>
    <row r="14" spans="1:41" s="536" customFormat="1" ht="12.75" customHeight="1">
      <c r="A14" s="540"/>
      <c r="D14" s="540"/>
      <c r="E14" s="2416"/>
      <c r="F14" s="2417"/>
      <c r="G14" s="2417"/>
      <c r="H14" s="2417"/>
      <c r="I14" s="2417"/>
      <c r="J14" s="2417"/>
      <c r="K14" s="2417"/>
      <c r="L14" s="2417"/>
      <c r="M14" s="2417"/>
      <c r="N14" s="2417"/>
      <c r="O14" s="2417"/>
      <c r="P14" s="2417"/>
      <c r="Q14" s="2417"/>
      <c r="R14" s="2417"/>
      <c r="S14" s="2417"/>
      <c r="T14" s="2417"/>
      <c r="U14" s="2417"/>
      <c r="V14" s="2417"/>
      <c r="W14" s="2417"/>
      <c r="X14" s="2417"/>
      <c r="Y14" s="2417"/>
      <c r="Z14" s="2417"/>
      <c r="AA14" s="2417"/>
      <c r="AB14" s="2417"/>
      <c r="AC14" s="2417"/>
      <c r="AD14" s="2417"/>
      <c r="AE14" s="2417"/>
      <c r="AF14" s="2417"/>
      <c r="AG14" s="2417"/>
      <c r="AH14" s="2417"/>
      <c r="AI14" s="2417"/>
      <c r="AJ14" s="2418"/>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97" t="s">
        <v>590</v>
      </c>
      <c r="C16" s="2397"/>
      <c r="D16" s="540"/>
      <c r="E16" s="2413" t="s">
        <v>2543</v>
      </c>
      <c r="F16" s="2414"/>
      <c r="G16" s="2414"/>
      <c r="H16" s="2414"/>
      <c r="I16" s="2414"/>
      <c r="J16" s="2414"/>
      <c r="K16" s="2414"/>
      <c r="L16" s="2414"/>
      <c r="M16" s="2414"/>
      <c r="N16" s="2414"/>
      <c r="O16" s="2414"/>
      <c r="P16" s="2414"/>
      <c r="Q16" s="2414"/>
      <c r="R16" s="2414"/>
      <c r="S16" s="2414"/>
      <c r="T16" s="2414"/>
      <c r="U16" s="2414"/>
      <c r="V16" s="2414"/>
      <c r="W16" s="2414"/>
      <c r="X16" s="2414"/>
      <c r="Y16" s="2414"/>
      <c r="Z16" s="2414"/>
      <c r="AA16" s="2414"/>
      <c r="AB16" s="2414"/>
      <c r="AC16" s="2414"/>
      <c r="AD16" s="2414"/>
      <c r="AE16" s="2414"/>
      <c r="AF16" s="2414"/>
      <c r="AG16" s="2414"/>
      <c r="AH16" s="2414"/>
      <c r="AI16" s="2414"/>
      <c r="AJ16" s="2415"/>
      <c r="AK16" s="540"/>
      <c r="AL16" s="540"/>
      <c r="AM16" s="540"/>
      <c r="AN16" s="535"/>
    </row>
    <row r="17" spans="1:50" s="536" customFormat="1" ht="12.75" customHeight="1">
      <c r="A17" s="540"/>
      <c r="B17" s="540"/>
      <c r="C17" s="540"/>
      <c r="D17" s="540"/>
      <c r="E17" s="2442"/>
      <c r="F17" s="2443"/>
      <c r="G17" s="2443"/>
      <c r="H17" s="2443"/>
      <c r="I17" s="2443"/>
      <c r="J17" s="2443"/>
      <c r="K17" s="2443"/>
      <c r="L17" s="2443"/>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4"/>
      <c r="AK17" s="540"/>
      <c r="AL17" s="540"/>
      <c r="AM17" s="540"/>
      <c r="AN17" s="535"/>
    </row>
    <row r="18" spans="1:50" s="536" customFormat="1" ht="12.75" customHeight="1">
      <c r="A18" s="540"/>
      <c r="B18" s="540"/>
      <c r="C18" s="1135"/>
      <c r="D18" s="540"/>
      <c r="E18" s="2416"/>
      <c r="F18" s="2417"/>
      <c r="G18" s="2417"/>
      <c r="H18" s="2417"/>
      <c r="I18" s="2417"/>
      <c r="J18" s="2417"/>
      <c r="K18" s="2417"/>
      <c r="L18" s="2417"/>
      <c r="M18" s="2417"/>
      <c r="N18" s="2417"/>
      <c r="O18" s="2417"/>
      <c r="P18" s="2417"/>
      <c r="Q18" s="2417"/>
      <c r="R18" s="2417"/>
      <c r="S18" s="2417"/>
      <c r="T18" s="2417"/>
      <c r="U18" s="2417"/>
      <c r="V18" s="2417"/>
      <c r="W18" s="2417"/>
      <c r="X18" s="2417"/>
      <c r="Y18" s="2417"/>
      <c r="Z18" s="2417"/>
      <c r="AA18" s="2417"/>
      <c r="AB18" s="2417"/>
      <c r="AC18" s="2417"/>
      <c r="AD18" s="2417"/>
      <c r="AE18" s="2417"/>
      <c r="AF18" s="2417"/>
      <c r="AG18" s="2417"/>
      <c r="AH18" s="2417"/>
      <c r="AI18" s="2417"/>
      <c r="AJ18" s="2418"/>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97" t="s">
        <v>590</v>
      </c>
      <c r="C20" s="2397"/>
      <c r="D20" s="540"/>
      <c r="E20" s="2413" t="s">
        <v>1978</v>
      </c>
      <c r="F20" s="2414"/>
      <c r="G20" s="2414"/>
      <c r="H20" s="2414"/>
      <c r="I20" s="2414"/>
      <c r="J20" s="2414"/>
      <c r="K20" s="2414"/>
      <c r="L20" s="2414"/>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4"/>
      <c r="AJ20" s="2415"/>
      <c r="AK20" s="540"/>
      <c r="AL20" s="540"/>
      <c r="AM20" s="540"/>
      <c r="AN20" s="535"/>
    </row>
    <row r="21" spans="1:50" s="536" customFormat="1" ht="12.75" customHeight="1">
      <c r="A21" s="540"/>
      <c r="B21" s="546"/>
      <c r="C21" s="546"/>
      <c r="D21" s="546"/>
      <c r="E21" s="2416"/>
      <c r="F21" s="2417"/>
      <c r="G21" s="2417"/>
      <c r="H21" s="2417"/>
      <c r="I21" s="2417"/>
      <c r="J21" s="2417"/>
      <c r="K21" s="2417"/>
      <c r="L21" s="2417"/>
      <c r="M21" s="2417"/>
      <c r="N21" s="2417"/>
      <c r="O21" s="2417"/>
      <c r="P21" s="2417"/>
      <c r="Q21" s="2417"/>
      <c r="R21" s="2417"/>
      <c r="S21" s="2417"/>
      <c r="T21" s="2417"/>
      <c r="U21" s="2417"/>
      <c r="V21" s="2417"/>
      <c r="W21" s="2417"/>
      <c r="X21" s="2417"/>
      <c r="Y21" s="2417"/>
      <c r="Z21" s="2417"/>
      <c r="AA21" s="2417"/>
      <c r="AB21" s="2417"/>
      <c r="AC21" s="2417"/>
      <c r="AD21" s="2417"/>
      <c r="AE21" s="2417"/>
      <c r="AF21" s="2417"/>
      <c r="AG21" s="2417"/>
      <c r="AH21" s="2417"/>
      <c r="AI21" s="2417"/>
      <c r="AJ21" s="2418"/>
      <c r="AK21" s="540"/>
      <c r="AL21" s="540"/>
      <c r="AM21" s="540"/>
      <c r="AN21" s="535"/>
      <c r="AO21" s="536">
        <f>IF(AND(B12="Yes",B16="Yes",B20="Yes"),10,0)</f>
        <v>0</v>
      </c>
      <c r="AP21" s="536" t="s">
        <v>1304</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2631</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2545</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97" t="s">
        <v>590</v>
      </c>
      <c r="C26" s="2397"/>
      <c r="D26" s="546"/>
      <c r="E26" s="547" t="s">
        <v>1303</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34"/>
      <c r="AH26" s="2434"/>
      <c r="AI26" s="2434"/>
      <c r="AJ26" s="2435"/>
      <c r="AK26" s="540"/>
      <c r="AL26" s="540"/>
      <c r="AM26" s="540"/>
      <c r="AN26" s="535"/>
      <c r="AO26" s="536">
        <f>IF($B26="yes",20,0)</f>
        <v>0</v>
      </c>
      <c r="AP26" s="14" t="s">
        <v>1304</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2546</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97" t="s">
        <v>590</v>
      </c>
      <c r="C30" s="2397"/>
      <c r="D30" s="546"/>
      <c r="E30" s="2398" t="s">
        <v>2632</v>
      </c>
      <c r="F30" s="2399"/>
      <c r="G30" s="2399"/>
      <c r="H30" s="2399"/>
      <c r="I30" s="2399"/>
      <c r="J30" s="2399"/>
      <c r="K30" s="2399"/>
      <c r="L30" s="2399"/>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400"/>
      <c r="AK30" s="540"/>
      <c r="AL30" s="540"/>
      <c r="AM30" s="540"/>
      <c r="AN30" s="535"/>
      <c r="AO30" s="549">
        <f>IF($B30="yes",9,0)</f>
        <v>0</v>
      </c>
    </row>
    <row r="31" spans="1:50" s="536" customFormat="1" ht="12.75" customHeight="1">
      <c r="A31" s="540"/>
      <c r="B31" s="540"/>
      <c r="C31" s="540"/>
      <c r="E31" s="2401"/>
      <c r="F31" s="2402"/>
      <c r="G31" s="2402"/>
      <c r="H31" s="2402"/>
      <c r="I31" s="2402"/>
      <c r="J31" s="2402"/>
      <c r="K31" s="2402"/>
      <c r="L31" s="2402"/>
      <c r="M31" s="2402"/>
      <c r="N31" s="2402"/>
      <c r="O31" s="2402"/>
      <c r="P31" s="2402"/>
      <c r="Q31" s="2402"/>
      <c r="R31" s="2402"/>
      <c r="S31" s="2402"/>
      <c r="T31" s="2402"/>
      <c r="U31" s="2402"/>
      <c r="V31" s="2402"/>
      <c r="W31" s="2402"/>
      <c r="X31" s="2402"/>
      <c r="Y31" s="2402"/>
      <c r="Z31" s="2402"/>
      <c r="AA31" s="2402"/>
      <c r="AB31" s="2402"/>
      <c r="AC31" s="2402"/>
      <c r="AD31" s="2402"/>
      <c r="AE31" s="2402"/>
      <c r="AF31" s="2402"/>
      <c r="AG31" s="2402"/>
      <c r="AH31" s="2402"/>
      <c r="AI31" s="2402"/>
      <c r="AJ31" s="2403"/>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97" t="s">
        <v>590</v>
      </c>
      <c r="C33" s="2397"/>
      <c r="D33" s="546"/>
      <c r="E33" s="2398" t="s">
        <v>2549</v>
      </c>
      <c r="F33" s="2399"/>
      <c r="G33" s="2399"/>
      <c r="H33" s="2399"/>
      <c r="I33" s="2399"/>
      <c r="J33" s="2399"/>
      <c r="K33" s="2399"/>
      <c r="L33" s="2399"/>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400"/>
      <c r="AK33" s="540"/>
      <c r="AL33" s="540"/>
      <c r="AM33" s="540"/>
      <c r="AN33" s="535"/>
      <c r="AO33" s="549">
        <f>IF($B39="yes",9,0)</f>
        <v>0</v>
      </c>
    </row>
    <row r="34" spans="1:43" s="536" customFormat="1" ht="12.75" customHeight="1">
      <c r="A34" s="540"/>
      <c r="B34" s="540"/>
      <c r="C34" s="540"/>
      <c r="D34" s="546"/>
      <c r="E34" s="2439"/>
      <c r="F34" s="2440"/>
      <c r="G34" s="2440"/>
      <c r="H34" s="2440"/>
      <c r="I34" s="2440"/>
      <c r="J34" s="2440"/>
      <c r="K34" s="2440"/>
      <c r="L34" s="2440"/>
      <c r="M34" s="2440"/>
      <c r="N34" s="2440"/>
      <c r="O34" s="2440"/>
      <c r="P34" s="2440"/>
      <c r="Q34" s="2440"/>
      <c r="R34" s="2440"/>
      <c r="S34" s="2440"/>
      <c r="T34" s="2440"/>
      <c r="U34" s="2440"/>
      <c r="V34" s="2440"/>
      <c r="W34" s="2440"/>
      <c r="X34" s="2440"/>
      <c r="Y34" s="2440"/>
      <c r="Z34" s="2440"/>
      <c r="AA34" s="2440"/>
      <c r="AB34" s="2440"/>
      <c r="AC34" s="2440"/>
      <c r="AD34" s="2440"/>
      <c r="AE34" s="2440"/>
      <c r="AF34" s="2440"/>
      <c r="AG34" s="2440"/>
      <c r="AH34" s="2440"/>
      <c r="AI34" s="2440"/>
      <c r="AJ34" s="2441"/>
      <c r="AK34" s="540"/>
      <c r="AL34" s="540"/>
      <c r="AM34" s="540"/>
      <c r="AN34" s="535"/>
      <c r="AO34" s="536">
        <f>MAX(AO30,AO31,AO32,AO33)</f>
        <v>0</v>
      </c>
      <c r="AP34" s="536" t="s">
        <v>1304</v>
      </c>
    </row>
    <row r="35" spans="1:43" s="536" customFormat="1" ht="12.75" customHeight="1">
      <c r="A35" s="540"/>
      <c r="B35" s="540"/>
      <c r="C35" s="540"/>
      <c r="E35" s="2401"/>
      <c r="F35" s="2402"/>
      <c r="G35" s="2402"/>
      <c r="H35" s="2402"/>
      <c r="I35" s="2402"/>
      <c r="J35" s="2402"/>
      <c r="K35" s="2402"/>
      <c r="L35" s="2402"/>
      <c r="M35" s="2402"/>
      <c r="N35" s="2402"/>
      <c r="O35" s="2402"/>
      <c r="P35" s="2402"/>
      <c r="Q35" s="2402"/>
      <c r="R35" s="2402"/>
      <c r="S35" s="2402"/>
      <c r="T35" s="2402"/>
      <c r="U35" s="2402"/>
      <c r="V35" s="2402"/>
      <c r="W35" s="2402"/>
      <c r="X35" s="2402"/>
      <c r="Y35" s="2402"/>
      <c r="Z35" s="2402"/>
      <c r="AA35" s="2402"/>
      <c r="AB35" s="2402"/>
      <c r="AC35" s="2402"/>
      <c r="AD35" s="2402"/>
      <c r="AE35" s="2402"/>
      <c r="AF35" s="2402"/>
      <c r="AG35" s="2402"/>
      <c r="AH35" s="2402"/>
      <c r="AI35" s="2402"/>
      <c r="AJ35" s="2403"/>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97" t="s">
        <v>590</v>
      </c>
      <c r="C37" s="2397"/>
      <c r="D37" s="1136"/>
      <c r="E37" s="2404" t="s">
        <v>2551</v>
      </c>
      <c r="F37" s="2405"/>
      <c r="G37" s="2405"/>
      <c r="H37" s="2405"/>
      <c r="I37" s="2405"/>
      <c r="J37" s="2405"/>
      <c r="K37" s="2405"/>
      <c r="L37" s="2405"/>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6"/>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97" t="s">
        <v>590</v>
      </c>
      <c r="C39" s="2397"/>
      <c r="D39" s="1136"/>
      <c r="E39" s="2404" t="s">
        <v>2550</v>
      </c>
      <c r="F39" s="2405"/>
      <c r="G39" s="2405"/>
      <c r="H39" s="2405"/>
      <c r="I39" s="2405"/>
      <c r="J39" s="2405"/>
      <c r="K39" s="2405"/>
      <c r="L39" s="2405"/>
      <c r="M39" s="2405"/>
      <c r="N39" s="2405"/>
      <c r="O39" s="2405"/>
      <c r="P39" s="2405"/>
      <c r="Q39" s="2405"/>
      <c r="R39" s="2405"/>
      <c r="S39" s="2405"/>
      <c r="T39" s="2405"/>
      <c r="U39" s="2405"/>
      <c r="V39" s="2405"/>
      <c r="W39" s="2405"/>
      <c r="X39" s="2405"/>
      <c r="Y39" s="2405"/>
      <c r="Z39" s="2405"/>
      <c r="AA39" s="2405"/>
      <c r="AB39" s="2405"/>
      <c r="AC39" s="2405"/>
      <c r="AD39" s="2405"/>
      <c r="AE39" s="2405"/>
      <c r="AF39" s="2405"/>
      <c r="AG39" s="2405"/>
      <c r="AH39" s="2405"/>
      <c r="AI39" s="2405"/>
      <c r="AJ39" s="2406"/>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2547</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97" t="s">
        <v>590</v>
      </c>
      <c r="C43" s="2397"/>
      <c r="D43" s="546"/>
      <c r="E43" s="2407" t="s">
        <v>2633</v>
      </c>
      <c r="F43" s="2408"/>
      <c r="G43" s="2408"/>
      <c r="H43" s="2408"/>
      <c r="I43" s="2408"/>
      <c r="J43" s="2408"/>
      <c r="K43" s="2408"/>
      <c r="L43" s="2408"/>
      <c r="M43" s="2408"/>
      <c r="N43" s="2408"/>
      <c r="O43" s="2408"/>
      <c r="P43" s="2408"/>
      <c r="Q43" s="2408"/>
      <c r="R43" s="2408"/>
      <c r="S43" s="2408"/>
      <c r="T43" s="2408"/>
      <c r="U43" s="2408"/>
      <c r="V43" s="2408"/>
      <c r="W43" s="2408"/>
      <c r="X43" s="2408"/>
      <c r="Y43" s="2408"/>
      <c r="Z43" s="2408"/>
      <c r="AA43" s="2408"/>
      <c r="AB43" s="2408"/>
      <c r="AC43" s="2408"/>
      <c r="AD43" s="2408"/>
      <c r="AE43" s="2408"/>
      <c r="AF43" s="2408"/>
      <c r="AG43" s="2408"/>
      <c r="AH43" s="2408"/>
      <c r="AI43" s="2408"/>
      <c r="AJ43" s="2409"/>
      <c r="AK43" s="540"/>
      <c r="AL43" s="540"/>
      <c r="AM43" s="540"/>
      <c r="AN43" s="535"/>
      <c r="AO43" s="549">
        <f>IF($B43="yes",8,0)</f>
        <v>0</v>
      </c>
      <c r="AP43" s="14"/>
    </row>
    <row r="44" spans="1:43" s="536" customFormat="1" ht="12.75" customHeight="1">
      <c r="A44" s="540"/>
      <c r="B44" s="540"/>
      <c r="C44" s="540"/>
      <c r="D44" s="550"/>
      <c r="E44" s="2410"/>
      <c r="F44" s="2411"/>
      <c r="G44" s="2411"/>
      <c r="H44" s="2411"/>
      <c r="I44" s="2411"/>
      <c r="J44" s="2411"/>
      <c r="K44" s="2411"/>
      <c r="L44" s="2411"/>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2"/>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97" t="s">
        <v>590</v>
      </c>
      <c r="C46" s="2397"/>
      <c r="D46" s="546"/>
      <c r="E46" s="2398" t="s">
        <v>2634</v>
      </c>
      <c r="F46" s="2399"/>
      <c r="G46" s="2399"/>
      <c r="H46" s="2399"/>
      <c r="I46" s="2399"/>
      <c r="J46" s="2399"/>
      <c r="K46" s="2399"/>
      <c r="L46" s="2399"/>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400"/>
      <c r="AK46" s="540"/>
      <c r="AL46" s="540"/>
      <c r="AM46" s="540"/>
      <c r="AN46" s="535"/>
      <c r="AO46" s="549">
        <f>IF($B52="yes",8,0)</f>
        <v>0</v>
      </c>
    </row>
    <row r="47" spans="1:43" s="536" customFormat="1" ht="12.75" customHeight="1">
      <c r="A47" s="540"/>
      <c r="B47" s="540"/>
      <c r="C47" s="540"/>
      <c r="D47" s="549"/>
      <c r="E47" s="2401"/>
      <c r="F47" s="2402"/>
      <c r="G47" s="2402"/>
      <c r="H47" s="2402"/>
      <c r="I47" s="2402"/>
      <c r="J47" s="2402"/>
      <c r="K47" s="2402"/>
      <c r="L47" s="2402"/>
      <c r="M47" s="2402"/>
      <c r="N47" s="2402"/>
      <c r="O47" s="2402"/>
      <c r="P47" s="2402"/>
      <c r="Q47" s="2402"/>
      <c r="R47" s="2402"/>
      <c r="S47" s="2402"/>
      <c r="T47" s="2402"/>
      <c r="U47" s="2402"/>
      <c r="V47" s="2402"/>
      <c r="W47" s="2402"/>
      <c r="X47" s="2402"/>
      <c r="Y47" s="2402"/>
      <c r="Z47" s="2402"/>
      <c r="AA47" s="2402"/>
      <c r="AB47" s="2402"/>
      <c r="AC47" s="2402"/>
      <c r="AD47" s="2402"/>
      <c r="AE47" s="2402"/>
      <c r="AF47" s="2402"/>
      <c r="AG47" s="2402"/>
      <c r="AH47" s="2402"/>
      <c r="AI47" s="2402"/>
      <c r="AJ47" s="2403"/>
      <c r="AK47" s="540"/>
      <c r="AL47" s="540"/>
      <c r="AM47" s="540"/>
      <c r="AN47" s="535"/>
      <c r="AO47" s="536">
        <f>MAX(AO43,AO44,AO45,AO46)</f>
        <v>0</v>
      </c>
      <c r="AP47" s="536" t="s">
        <v>1304</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97" t="s">
        <v>590</v>
      </c>
      <c r="C49" s="2397"/>
      <c r="D49" s="546"/>
      <c r="E49" s="2413" t="s">
        <v>2635</v>
      </c>
      <c r="F49" s="2414"/>
      <c r="G49" s="2414"/>
      <c r="H49" s="2414"/>
      <c r="I49" s="2414"/>
      <c r="J49" s="2414"/>
      <c r="K49" s="2414"/>
      <c r="L49" s="2414"/>
      <c r="M49" s="2414"/>
      <c r="N49" s="2414"/>
      <c r="O49" s="2414"/>
      <c r="P49" s="2414"/>
      <c r="Q49" s="2414"/>
      <c r="R49" s="2414"/>
      <c r="S49" s="2414"/>
      <c r="T49" s="2414"/>
      <c r="U49" s="2414"/>
      <c r="V49" s="2414"/>
      <c r="W49" s="2414"/>
      <c r="X49" s="2414"/>
      <c r="Y49" s="2414"/>
      <c r="Z49" s="2414"/>
      <c r="AA49" s="2414"/>
      <c r="AB49" s="2414"/>
      <c r="AC49" s="2414"/>
      <c r="AD49" s="2414"/>
      <c r="AE49" s="2414"/>
      <c r="AF49" s="2414"/>
      <c r="AG49" s="2414"/>
      <c r="AH49" s="2414"/>
      <c r="AI49" s="2414"/>
      <c r="AJ49" s="2415"/>
      <c r="AK49" s="540"/>
      <c r="AL49" s="540"/>
      <c r="AM49" s="540"/>
      <c r="AN49" s="535"/>
      <c r="AO49" s="549"/>
    </row>
    <row r="50" spans="1:42" s="536" customFormat="1" ht="12.75" customHeight="1">
      <c r="A50" s="540"/>
      <c r="B50" s="540"/>
      <c r="C50" s="540"/>
      <c r="D50" s="549"/>
      <c r="E50" s="2416"/>
      <c r="F50" s="2417"/>
      <c r="G50" s="2417"/>
      <c r="H50" s="2417"/>
      <c r="I50" s="2417"/>
      <c r="J50" s="2417"/>
      <c r="K50" s="2417"/>
      <c r="L50" s="2417"/>
      <c r="M50" s="2417"/>
      <c r="N50" s="2417"/>
      <c r="O50" s="2417"/>
      <c r="P50" s="2417"/>
      <c r="Q50" s="2417"/>
      <c r="R50" s="2417"/>
      <c r="S50" s="2417"/>
      <c r="T50" s="2417"/>
      <c r="U50" s="2417"/>
      <c r="V50" s="2417"/>
      <c r="W50" s="2417"/>
      <c r="X50" s="2417"/>
      <c r="Y50" s="2417"/>
      <c r="Z50" s="2417"/>
      <c r="AA50" s="2417"/>
      <c r="AB50" s="2417"/>
      <c r="AC50" s="2417"/>
      <c r="AD50" s="2417"/>
      <c r="AE50" s="2417"/>
      <c r="AF50" s="2417"/>
      <c r="AG50" s="2417"/>
      <c r="AH50" s="2417"/>
      <c r="AI50" s="2417"/>
      <c r="AJ50" s="2418"/>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97" t="s">
        <v>590</v>
      </c>
      <c r="C52" s="2397"/>
      <c r="D52" s="546"/>
      <c r="E52" s="2404" t="s">
        <v>2636</v>
      </c>
      <c r="F52" s="2405"/>
      <c r="G52" s="2405"/>
      <c r="H52" s="2405"/>
      <c r="I52" s="2405"/>
      <c r="J52" s="2405"/>
      <c r="K52" s="2405"/>
      <c r="L52" s="2405"/>
      <c r="M52" s="2405"/>
      <c r="N52" s="2405"/>
      <c r="O52" s="2405"/>
      <c r="P52" s="2405"/>
      <c r="Q52" s="2405"/>
      <c r="R52" s="2405"/>
      <c r="S52" s="2405"/>
      <c r="T52" s="2405"/>
      <c r="U52" s="2405"/>
      <c r="V52" s="2405"/>
      <c r="W52" s="2405"/>
      <c r="X52" s="2405"/>
      <c r="Y52" s="2405"/>
      <c r="Z52" s="2405"/>
      <c r="AA52" s="2405"/>
      <c r="AB52" s="2405"/>
      <c r="AC52" s="2405"/>
      <c r="AD52" s="2405"/>
      <c r="AE52" s="2405"/>
      <c r="AF52" s="2405"/>
      <c r="AG52" s="2405"/>
      <c r="AH52" s="2405"/>
      <c r="AI52" s="2405"/>
      <c r="AJ52" s="2406"/>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2548</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97" t="s">
        <v>590</v>
      </c>
      <c r="C56" s="2397"/>
      <c r="D56" s="546"/>
      <c r="E56" s="2413" t="s">
        <v>2552</v>
      </c>
      <c r="F56" s="2414"/>
      <c r="G56" s="2414"/>
      <c r="H56" s="2414"/>
      <c r="I56" s="2414"/>
      <c r="J56" s="2414"/>
      <c r="K56" s="2414"/>
      <c r="L56" s="2414"/>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5"/>
      <c r="AK56" s="540"/>
      <c r="AL56" s="540"/>
      <c r="AM56" s="540"/>
      <c r="AN56" s="535"/>
      <c r="AO56" s="549">
        <f>IF($B59="yes",7,0)</f>
        <v>0</v>
      </c>
    </row>
    <row r="57" spans="1:42" s="536" customFormat="1" ht="12.75" customHeight="1">
      <c r="A57" s="540"/>
      <c r="B57" s="540"/>
      <c r="C57" s="540"/>
      <c r="D57" s="549"/>
      <c r="E57" s="2416"/>
      <c r="F57" s="2417"/>
      <c r="G57" s="2417"/>
      <c r="H57" s="2417"/>
      <c r="I57" s="2417"/>
      <c r="J57" s="2417"/>
      <c r="K57" s="2417"/>
      <c r="L57" s="2417"/>
      <c r="M57" s="2417"/>
      <c r="N57" s="2417"/>
      <c r="O57" s="2417"/>
      <c r="P57" s="2417"/>
      <c r="Q57" s="2417"/>
      <c r="R57" s="2417"/>
      <c r="S57" s="2417"/>
      <c r="T57" s="2417"/>
      <c r="U57" s="2417"/>
      <c r="V57" s="2417"/>
      <c r="W57" s="2417"/>
      <c r="X57" s="2417"/>
      <c r="Y57" s="2417"/>
      <c r="Z57" s="2417"/>
      <c r="AA57" s="2417"/>
      <c r="AB57" s="2417"/>
      <c r="AC57" s="2417"/>
      <c r="AD57" s="2417"/>
      <c r="AE57" s="2417"/>
      <c r="AF57" s="2417"/>
      <c r="AG57" s="2417"/>
      <c r="AH57" s="2417"/>
      <c r="AI57" s="2417"/>
      <c r="AJ57" s="2418"/>
      <c r="AK57" s="540"/>
      <c r="AL57" s="540"/>
      <c r="AM57" s="540"/>
      <c r="AN57" s="535"/>
      <c r="AO57" s="536">
        <f>MAX(AO55:AO56)</f>
        <v>0</v>
      </c>
      <c r="AP57" s="536" t="s">
        <v>1304</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97" t="s">
        <v>590</v>
      </c>
      <c r="C59" s="2397"/>
      <c r="D59" s="546"/>
      <c r="E59" s="2404" t="s">
        <v>2553</v>
      </c>
      <c r="F59" s="2405"/>
      <c r="G59" s="2405"/>
      <c r="H59" s="2405"/>
      <c r="I59" s="2405"/>
      <c r="J59" s="2405"/>
      <c r="K59" s="2405"/>
      <c r="L59" s="2405"/>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6"/>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0</v>
      </c>
      <c r="AP60" s="536" t="s">
        <v>1304</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2554</v>
      </c>
      <c r="AK61" s="2436">
        <f>AO60</f>
        <v>0</v>
      </c>
      <c r="AL61" s="2437"/>
      <c r="AM61" s="2438"/>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1305</v>
      </c>
      <c r="B64" s="539" t="s">
        <v>1306</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25" t="s">
        <v>1307</v>
      </c>
      <c r="AF64" s="2425"/>
      <c r="AG64" s="2425"/>
      <c r="AH64" s="2425"/>
      <c r="AI64" s="2425"/>
      <c r="AJ64" s="2425"/>
      <c r="AK64" s="2425"/>
      <c r="AL64" s="540"/>
      <c r="AM64" s="540"/>
      <c r="AN64" s="535"/>
    </row>
    <row r="65" spans="1:42" s="536" customFormat="1" ht="12.75" customHeight="1">
      <c r="A65" s="538"/>
      <c r="B65" s="539" t="s">
        <v>1716</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97" t="s">
        <v>590</v>
      </c>
      <c r="C67" s="2397"/>
      <c r="D67" s="546" t="s">
        <v>1308</v>
      </c>
      <c r="E67" s="2407" t="s">
        <v>1979</v>
      </c>
      <c r="F67" s="2408"/>
      <c r="G67" s="2408"/>
      <c r="H67" s="2408"/>
      <c r="I67" s="2408"/>
      <c r="J67" s="2408"/>
      <c r="K67" s="2408"/>
      <c r="L67" s="2408"/>
      <c r="M67" s="2408"/>
      <c r="N67" s="2408"/>
      <c r="O67" s="2408"/>
      <c r="P67" s="2408"/>
      <c r="Q67" s="2408"/>
      <c r="R67" s="2408"/>
      <c r="S67" s="2408"/>
      <c r="T67" s="2408"/>
      <c r="U67" s="2408"/>
      <c r="V67" s="2408"/>
      <c r="W67" s="2408"/>
      <c r="X67" s="2408"/>
      <c r="Y67" s="2408"/>
      <c r="Z67" s="2408"/>
      <c r="AA67" s="2408"/>
      <c r="AB67" s="2408"/>
      <c r="AC67" s="2408"/>
      <c r="AD67" s="2408"/>
      <c r="AE67" s="2408"/>
      <c r="AF67" s="2408"/>
      <c r="AG67" s="2408"/>
      <c r="AH67" s="2408"/>
      <c r="AI67" s="2408"/>
      <c r="AJ67" s="2409"/>
      <c r="AK67" s="543"/>
      <c r="AL67" s="540"/>
      <c r="AM67" s="540"/>
      <c r="AN67" s="535"/>
      <c r="AO67" s="549">
        <f>IF($B67="yes",10,0)</f>
        <v>0</v>
      </c>
    </row>
    <row r="68" spans="1:42" s="536" customFormat="1" ht="12.75" customHeight="1">
      <c r="A68" s="538"/>
      <c r="B68" s="540"/>
      <c r="C68" s="540"/>
      <c r="D68" s="550"/>
      <c r="E68" s="2426"/>
      <c r="F68" s="2427"/>
      <c r="G68" s="2427"/>
      <c r="H68" s="2427"/>
      <c r="I68" s="2427"/>
      <c r="J68" s="2427"/>
      <c r="K68" s="2427"/>
      <c r="L68" s="2427"/>
      <c r="M68" s="2427"/>
      <c r="N68" s="2427"/>
      <c r="O68" s="2427"/>
      <c r="P68" s="2427"/>
      <c r="Q68" s="2427"/>
      <c r="R68" s="2427"/>
      <c r="S68" s="2427"/>
      <c r="T68" s="2427"/>
      <c r="U68" s="2427"/>
      <c r="V68" s="2427"/>
      <c r="W68" s="2427"/>
      <c r="X68" s="2427"/>
      <c r="Y68" s="2427"/>
      <c r="Z68" s="2427"/>
      <c r="AA68" s="2427"/>
      <c r="AB68" s="2427"/>
      <c r="AC68" s="2427"/>
      <c r="AD68" s="2427"/>
      <c r="AE68" s="2427"/>
      <c r="AF68" s="2427"/>
      <c r="AG68" s="2427"/>
      <c r="AH68" s="2427"/>
      <c r="AI68" s="2427"/>
      <c r="AJ68" s="2428"/>
      <c r="AK68" s="543"/>
      <c r="AL68" s="540"/>
      <c r="AM68" s="540"/>
      <c r="AN68" s="535"/>
      <c r="AO68" s="549">
        <f>IF(AND($B73="yes",OR(E74="Yes",E75="Yes",E76="Yes")),10,0)</f>
        <v>0</v>
      </c>
    </row>
    <row r="69" spans="1:42" s="536" customFormat="1" ht="12.75" customHeight="1">
      <c r="A69" s="538"/>
      <c r="B69" s="540"/>
      <c r="C69" s="540"/>
      <c r="D69" s="550"/>
      <c r="E69" s="2426"/>
      <c r="F69" s="2427"/>
      <c r="G69" s="2427"/>
      <c r="H69" s="2427"/>
      <c r="I69" s="2427"/>
      <c r="J69" s="2427"/>
      <c r="K69" s="2427"/>
      <c r="L69" s="2427"/>
      <c r="M69" s="2427"/>
      <c r="N69" s="2427"/>
      <c r="O69" s="2427"/>
      <c r="P69" s="2427"/>
      <c r="Q69" s="2427"/>
      <c r="R69" s="2427"/>
      <c r="S69" s="2427"/>
      <c r="T69" s="2427"/>
      <c r="U69" s="2427"/>
      <c r="V69" s="2427"/>
      <c r="W69" s="2427"/>
      <c r="X69" s="2427"/>
      <c r="Y69" s="2427"/>
      <c r="Z69" s="2427"/>
      <c r="AA69" s="2427"/>
      <c r="AB69" s="2427"/>
      <c r="AC69" s="2427"/>
      <c r="AD69" s="2427"/>
      <c r="AE69" s="2427"/>
      <c r="AF69" s="2427"/>
      <c r="AG69" s="2427"/>
      <c r="AH69" s="2427"/>
      <c r="AI69" s="2427"/>
      <c r="AJ69" s="2428"/>
      <c r="AK69" s="543"/>
      <c r="AL69" s="540"/>
      <c r="AM69" s="540"/>
      <c r="AN69" s="535"/>
      <c r="AO69" s="549">
        <f>IF($B78="yes",10,0)</f>
        <v>10</v>
      </c>
    </row>
    <row r="70" spans="1:42" s="536" customFormat="1" ht="12.75" customHeight="1">
      <c r="A70" s="538"/>
      <c r="B70" s="540"/>
      <c r="C70" s="540"/>
      <c r="D70" s="550"/>
      <c r="E70" s="2426"/>
      <c r="F70" s="2427"/>
      <c r="G70" s="2427"/>
      <c r="H70" s="2427"/>
      <c r="I70" s="2427"/>
      <c r="J70" s="2427"/>
      <c r="K70" s="2427"/>
      <c r="L70" s="2427"/>
      <c r="M70" s="2427"/>
      <c r="N70" s="2427"/>
      <c r="O70" s="2427"/>
      <c r="P70" s="2427"/>
      <c r="Q70" s="2427"/>
      <c r="R70" s="2427"/>
      <c r="S70" s="2427"/>
      <c r="T70" s="2427"/>
      <c r="U70" s="2427"/>
      <c r="V70" s="2427"/>
      <c r="W70" s="2427"/>
      <c r="X70" s="2427"/>
      <c r="Y70" s="2427"/>
      <c r="Z70" s="2427"/>
      <c r="AA70" s="2427"/>
      <c r="AB70" s="2427"/>
      <c r="AC70" s="2427"/>
      <c r="AD70" s="2427"/>
      <c r="AE70" s="2427"/>
      <c r="AF70" s="2427"/>
      <c r="AG70" s="2427"/>
      <c r="AH70" s="2427"/>
      <c r="AI70" s="2427"/>
      <c r="AJ70" s="2428"/>
      <c r="AK70" s="543"/>
      <c r="AL70" s="540"/>
      <c r="AM70" s="540"/>
      <c r="AN70" s="535"/>
      <c r="AO70" s="549">
        <f>IF($B81="yes",10,0)</f>
        <v>0</v>
      </c>
    </row>
    <row r="71" spans="1:42" s="536" customFormat="1" ht="12.75" customHeight="1">
      <c r="A71" s="538"/>
      <c r="B71" s="540"/>
      <c r="C71" s="540"/>
      <c r="D71" s="550"/>
      <c r="E71" s="2410"/>
      <c r="F71" s="2411"/>
      <c r="G71" s="2411"/>
      <c r="H71" s="2411"/>
      <c r="I71" s="2411"/>
      <c r="J71" s="2411"/>
      <c r="K71" s="2411"/>
      <c r="L71" s="2411"/>
      <c r="M71" s="2411"/>
      <c r="N71" s="2411"/>
      <c r="O71" s="2411"/>
      <c r="P71" s="2411"/>
      <c r="Q71" s="2411"/>
      <c r="R71" s="2411"/>
      <c r="S71" s="2411"/>
      <c r="T71" s="2411"/>
      <c r="U71" s="2411"/>
      <c r="V71" s="2411"/>
      <c r="W71" s="2411"/>
      <c r="X71" s="2411"/>
      <c r="Y71" s="2411"/>
      <c r="Z71" s="2411"/>
      <c r="AA71" s="2411"/>
      <c r="AB71" s="2411"/>
      <c r="AC71" s="2411"/>
      <c r="AD71" s="2411"/>
      <c r="AE71" s="2411"/>
      <c r="AF71" s="2411"/>
      <c r="AG71" s="2411"/>
      <c r="AH71" s="2411"/>
      <c r="AI71" s="2411"/>
      <c r="AJ71" s="2412"/>
      <c r="AK71" s="543"/>
      <c r="AL71" s="540"/>
      <c r="AM71" s="540"/>
      <c r="AN71" s="535"/>
      <c r="AO71" s="536">
        <f>IF(SUM(AO67:AO70)&gt;10,10,(SUM(AO67:AO70)))</f>
        <v>10</v>
      </c>
      <c r="AP71" s="572" t="s">
        <v>1309</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97" t="s">
        <v>590</v>
      </c>
      <c r="C73" s="2397"/>
      <c r="D73" s="546" t="s">
        <v>1310</v>
      </c>
      <c r="E73" s="967" t="s">
        <v>1712</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29" t="s">
        <v>590</v>
      </c>
      <c r="F74" s="2397"/>
      <c r="G74" s="573"/>
      <c r="H74" s="556" t="s">
        <v>1311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23" t="s">
        <v>590</v>
      </c>
      <c r="F75" s="2424"/>
      <c r="G75" s="573"/>
      <c r="H75" s="556" t="s">
        <v>1312</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23" t="s">
        <v>590</v>
      </c>
      <c r="F76" s="2424"/>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97" t="s">
        <v>544</v>
      </c>
      <c r="C78" s="2397"/>
      <c r="D78" s="546" t="s">
        <v>1313</v>
      </c>
      <c r="E78" s="2413" t="s">
        <v>1727</v>
      </c>
      <c r="F78" s="2414"/>
      <c r="G78" s="2414"/>
      <c r="H78" s="2414"/>
      <c r="I78" s="2414"/>
      <c r="J78" s="2414"/>
      <c r="K78" s="2414"/>
      <c r="L78" s="2414"/>
      <c r="M78" s="2414"/>
      <c r="N78" s="2414"/>
      <c r="O78" s="2414"/>
      <c r="P78" s="2414"/>
      <c r="Q78" s="2414"/>
      <c r="R78" s="2414"/>
      <c r="S78" s="2414"/>
      <c r="T78" s="2414"/>
      <c r="U78" s="2414"/>
      <c r="V78" s="2414"/>
      <c r="W78" s="2414"/>
      <c r="X78" s="2414"/>
      <c r="Y78" s="2414"/>
      <c r="Z78" s="2414"/>
      <c r="AA78" s="2414"/>
      <c r="AB78" s="2414"/>
      <c r="AC78" s="2414"/>
      <c r="AD78" s="2414"/>
      <c r="AE78" s="2414"/>
      <c r="AF78" s="2414"/>
      <c r="AG78" s="2414"/>
      <c r="AH78" s="2414"/>
      <c r="AI78" s="2414"/>
      <c r="AJ78" s="2415"/>
      <c r="AK78" s="543"/>
      <c r="AL78" s="540"/>
      <c r="AM78" s="540"/>
      <c r="AN78" s="535"/>
    </row>
    <row r="79" spans="1:42" s="536" customFormat="1" ht="12.75" customHeight="1">
      <c r="A79" s="538"/>
      <c r="B79" s="540"/>
      <c r="C79" s="540"/>
      <c r="E79" s="2416"/>
      <c r="F79" s="2417"/>
      <c r="G79" s="2417"/>
      <c r="H79" s="2417"/>
      <c r="I79" s="2417"/>
      <c r="J79" s="2417"/>
      <c r="K79" s="2417"/>
      <c r="L79" s="2417"/>
      <c r="M79" s="2417"/>
      <c r="N79" s="2417"/>
      <c r="O79" s="2417"/>
      <c r="P79" s="2417"/>
      <c r="Q79" s="2417"/>
      <c r="R79" s="2417"/>
      <c r="S79" s="2417"/>
      <c r="T79" s="2417"/>
      <c r="U79" s="2417"/>
      <c r="V79" s="2417"/>
      <c r="W79" s="2417"/>
      <c r="X79" s="2417"/>
      <c r="Y79" s="2417"/>
      <c r="Z79" s="2417"/>
      <c r="AA79" s="2417"/>
      <c r="AB79" s="2417"/>
      <c r="AC79" s="2417"/>
      <c r="AD79" s="2417"/>
      <c r="AE79" s="2417"/>
      <c r="AF79" s="2417"/>
      <c r="AG79" s="2417"/>
      <c r="AH79" s="2417"/>
      <c r="AI79" s="2417"/>
      <c r="AJ79" s="2418"/>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97" t="s">
        <v>590</v>
      </c>
      <c r="C81" s="2397"/>
      <c r="D81" s="546" t="s">
        <v>1460</v>
      </c>
      <c r="E81" s="2404" t="s">
        <v>1725</v>
      </c>
      <c r="F81" s="2405"/>
      <c r="G81" s="2405"/>
      <c r="H81" s="2405"/>
      <c r="I81" s="2405"/>
      <c r="J81" s="2405"/>
      <c r="K81" s="2405"/>
      <c r="L81" s="2405"/>
      <c r="M81" s="2405"/>
      <c r="N81" s="2405"/>
      <c r="O81" s="2405"/>
      <c r="P81" s="2405"/>
      <c r="Q81" s="2405"/>
      <c r="R81" s="2405"/>
      <c r="S81" s="2405"/>
      <c r="T81" s="2405"/>
      <c r="U81" s="2405"/>
      <c r="V81" s="2405"/>
      <c r="W81" s="2405"/>
      <c r="X81" s="2405"/>
      <c r="Y81" s="2405"/>
      <c r="Z81" s="2405"/>
      <c r="AA81" s="2405"/>
      <c r="AB81" s="2405"/>
      <c r="AC81" s="2405"/>
      <c r="AD81" s="2405"/>
      <c r="AE81" s="2405"/>
      <c r="AF81" s="2405"/>
      <c r="AG81" s="2405"/>
      <c r="AH81" s="2405"/>
      <c r="AI81" s="2405"/>
      <c r="AJ81" s="2406"/>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1314</v>
      </c>
      <c r="AK83" s="2436">
        <f>IF(AK61&gt;0,0,AO71)</f>
        <v>10</v>
      </c>
      <c r="AL83" s="2437"/>
      <c r="AM83" s="2438"/>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1315</v>
      </c>
      <c r="B86" s="539" t="s">
        <v>1316</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25" t="s">
        <v>1302</v>
      </c>
      <c r="AF86" s="2425"/>
      <c r="AG86" s="2425"/>
      <c r="AH86" s="2425"/>
      <c r="AI86" s="2425"/>
      <c r="AJ86" s="2425"/>
      <c r="AK86" s="2425"/>
      <c r="AL86" s="540"/>
      <c r="AM86" s="540"/>
      <c r="AN86" s="535"/>
    </row>
    <row r="87" spans="1:43" s="536" customFormat="1" ht="12.75" customHeight="1">
      <c r="A87" s="538"/>
      <c r="B87" s="539" t="s">
        <v>1317</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97" t="s">
        <v>590</v>
      </c>
      <c r="C89" s="2397"/>
      <c r="D89" s="546" t="s">
        <v>1308</v>
      </c>
      <c r="E89" s="2407" t="s">
        <v>1318</v>
      </c>
      <c r="F89" s="2408"/>
      <c r="G89" s="2408"/>
      <c r="H89" s="2408"/>
      <c r="I89" s="2408"/>
      <c r="J89" s="2408"/>
      <c r="K89" s="2408"/>
      <c r="L89" s="2408"/>
      <c r="M89" s="2408"/>
      <c r="N89" s="2408"/>
      <c r="O89" s="2408"/>
      <c r="P89" s="2408"/>
      <c r="Q89" s="2408"/>
      <c r="R89" s="2408"/>
      <c r="S89" s="2408"/>
      <c r="T89" s="2408"/>
      <c r="U89" s="2408"/>
      <c r="V89" s="2408"/>
      <c r="W89" s="2408"/>
      <c r="X89" s="2408"/>
      <c r="Y89" s="2408"/>
      <c r="Z89" s="2408"/>
      <c r="AA89" s="2408"/>
      <c r="AB89" s="2408"/>
      <c r="AC89" s="2408"/>
      <c r="AD89" s="2408"/>
      <c r="AE89" s="2408"/>
      <c r="AF89" s="2408"/>
      <c r="AG89" s="2408"/>
      <c r="AH89" s="2408"/>
      <c r="AI89" s="2408"/>
      <c r="AJ89" s="2409"/>
      <c r="AK89" s="543"/>
      <c r="AL89" s="540"/>
      <c r="AM89" s="540"/>
      <c r="AN89" s="535"/>
    </row>
    <row r="90" spans="1:43" s="536" customFormat="1" ht="12.75" customHeight="1">
      <c r="A90" s="538"/>
      <c r="B90" s="539"/>
      <c r="C90" s="539"/>
      <c r="D90" s="539"/>
      <c r="E90" s="2426"/>
      <c r="F90" s="2427"/>
      <c r="G90" s="2427"/>
      <c r="H90" s="2427"/>
      <c r="I90" s="2427"/>
      <c r="J90" s="2427"/>
      <c r="K90" s="2427"/>
      <c r="L90" s="2427"/>
      <c r="M90" s="2427"/>
      <c r="N90" s="2427"/>
      <c r="O90" s="2427"/>
      <c r="P90" s="2427"/>
      <c r="Q90" s="2427"/>
      <c r="R90" s="2427"/>
      <c r="S90" s="2427"/>
      <c r="T90" s="2427"/>
      <c r="U90" s="2427"/>
      <c r="V90" s="2427"/>
      <c r="W90" s="2427"/>
      <c r="X90" s="2427"/>
      <c r="Y90" s="2427"/>
      <c r="Z90" s="2427"/>
      <c r="AA90" s="2427"/>
      <c r="AB90" s="2427"/>
      <c r="AC90" s="2427"/>
      <c r="AD90" s="2427"/>
      <c r="AE90" s="2427"/>
      <c r="AF90" s="2427"/>
      <c r="AG90" s="2427"/>
      <c r="AH90" s="2427"/>
      <c r="AI90" s="2427"/>
      <c r="AJ90" s="2428"/>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19">
        <f>Application!AC761</f>
        <v>0.57241379310344831</v>
      </c>
      <c r="F92" s="2420"/>
      <c r="G92" s="2420"/>
      <c r="H92" s="2420"/>
      <c r="I92" s="575"/>
      <c r="J92" s="578" t="s">
        <v>1319</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21">
        <f>0.6-ROUNDUP(E92,2)</f>
        <v>2.0000000000000018E-2</v>
      </c>
      <c r="F93" s="2422"/>
      <c r="G93" s="2422"/>
      <c r="H93" s="2422"/>
      <c r="I93" s="575"/>
      <c r="J93" s="578" t="s">
        <v>1320</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48">
        <f>IF(E93*200&gt;20,20,E93*200)</f>
        <v>4.0000000000000036</v>
      </c>
      <c r="F94" s="2449"/>
      <c r="G94" s="2449"/>
      <c r="H94" s="2449"/>
      <c r="I94" s="575"/>
      <c r="J94" s="578" t="s">
        <v>1321</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1304</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97" t="s">
        <v>544</v>
      </c>
      <c r="C97" s="2397"/>
      <c r="D97" s="546" t="s">
        <v>1310</v>
      </c>
      <c r="E97" s="2407" t="s">
        <v>1713</v>
      </c>
      <c r="F97" s="2408"/>
      <c r="G97" s="2408"/>
      <c r="H97" s="2408"/>
      <c r="I97" s="2408"/>
      <c r="J97" s="2408"/>
      <c r="K97" s="2408"/>
      <c r="L97" s="2408"/>
      <c r="M97" s="2408"/>
      <c r="N97" s="2408"/>
      <c r="O97" s="2408"/>
      <c r="P97" s="2408"/>
      <c r="Q97" s="2408"/>
      <c r="R97" s="2408"/>
      <c r="S97" s="2408"/>
      <c r="T97" s="2408"/>
      <c r="U97" s="2408"/>
      <c r="V97" s="2408"/>
      <c r="W97" s="2408"/>
      <c r="X97" s="2408"/>
      <c r="Y97" s="2408"/>
      <c r="Z97" s="2408"/>
      <c r="AA97" s="2408"/>
      <c r="AB97" s="2408"/>
      <c r="AC97" s="2408"/>
      <c r="AD97" s="2408"/>
      <c r="AE97" s="2408"/>
      <c r="AF97" s="2408"/>
      <c r="AG97" s="2408"/>
      <c r="AH97" s="2408"/>
      <c r="AI97" s="2408"/>
      <c r="AJ97" s="2409"/>
      <c r="AK97" s="543"/>
      <c r="AL97" s="540"/>
      <c r="AM97" s="540"/>
      <c r="AN97" s="535"/>
    </row>
    <row r="98" spans="1:47" s="536" customFormat="1" ht="12.75" customHeight="1">
      <c r="A98" s="538"/>
      <c r="B98" s="539"/>
      <c r="C98" s="539"/>
      <c r="D98" s="539"/>
      <c r="E98" s="2426"/>
      <c r="F98" s="2427"/>
      <c r="G98" s="2427"/>
      <c r="H98" s="2427"/>
      <c r="I98" s="2427"/>
      <c r="J98" s="2427"/>
      <c r="K98" s="2427"/>
      <c r="L98" s="2427"/>
      <c r="M98" s="2427"/>
      <c r="N98" s="2427"/>
      <c r="O98" s="2427"/>
      <c r="P98" s="2427"/>
      <c r="Q98" s="2427"/>
      <c r="R98" s="2427"/>
      <c r="S98" s="2427"/>
      <c r="T98" s="2427"/>
      <c r="U98" s="2427"/>
      <c r="V98" s="2427"/>
      <c r="W98" s="2427"/>
      <c r="X98" s="2427"/>
      <c r="Y98" s="2427"/>
      <c r="Z98" s="2427"/>
      <c r="AA98" s="2427"/>
      <c r="AB98" s="2427"/>
      <c r="AC98" s="2427"/>
      <c r="AD98" s="2427"/>
      <c r="AE98" s="2427"/>
      <c r="AF98" s="2427"/>
      <c r="AG98" s="2427"/>
      <c r="AH98" s="2427"/>
      <c r="AI98" s="2427"/>
      <c r="AJ98" s="2428"/>
      <c r="AK98" s="543"/>
      <c r="AL98" s="540"/>
      <c r="AM98" s="540"/>
      <c r="AN98" s="535"/>
    </row>
    <row r="99" spans="1:47" s="536" customFormat="1" ht="12.75" customHeight="1">
      <c r="A99" s="538"/>
      <c r="B99" s="539"/>
      <c r="C99" s="539"/>
      <c r="D99" s="539"/>
      <c r="E99" s="2426"/>
      <c r="F99" s="2427"/>
      <c r="G99" s="2427"/>
      <c r="H99" s="2427"/>
      <c r="I99" s="2427"/>
      <c r="J99" s="2427"/>
      <c r="K99" s="2427"/>
      <c r="L99" s="2427"/>
      <c r="M99" s="2427"/>
      <c r="N99" s="2427"/>
      <c r="O99" s="2427"/>
      <c r="P99" s="2427"/>
      <c r="Q99" s="2427"/>
      <c r="R99" s="2427"/>
      <c r="S99" s="2427"/>
      <c r="T99" s="2427"/>
      <c r="U99" s="2427"/>
      <c r="V99" s="2427"/>
      <c r="W99" s="2427"/>
      <c r="X99" s="2427"/>
      <c r="Y99" s="2427"/>
      <c r="Z99" s="2427"/>
      <c r="AA99" s="2427"/>
      <c r="AB99" s="2427"/>
      <c r="AC99" s="2427"/>
      <c r="AD99" s="2427"/>
      <c r="AE99" s="2427"/>
      <c r="AF99" s="2427"/>
      <c r="AG99" s="2427"/>
      <c r="AH99" s="2427"/>
      <c r="AI99" s="2427"/>
      <c r="AJ99" s="2428"/>
      <c r="AK99" s="543"/>
      <c r="AL99" s="540"/>
      <c r="AM99" s="540"/>
      <c r="AN99" s="535"/>
    </row>
    <row r="100" spans="1:47" s="536" customFormat="1" ht="12.75" customHeight="1">
      <c r="A100" s="538"/>
      <c r="B100" s="539"/>
      <c r="C100" s="539"/>
      <c r="D100" s="539"/>
      <c r="E100" s="2426"/>
      <c r="F100" s="2427"/>
      <c r="G100" s="2427"/>
      <c r="H100" s="2427"/>
      <c r="I100" s="2427"/>
      <c r="J100" s="2427"/>
      <c r="K100" s="2427"/>
      <c r="L100" s="2427"/>
      <c r="M100" s="2427"/>
      <c r="N100" s="2427"/>
      <c r="O100" s="2427"/>
      <c r="P100" s="2427"/>
      <c r="Q100" s="2427"/>
      <c r="R100" s="2427"/>
      <c r="S100" s="2427"/>
      <c r="T100" s="2427"/>
      <c r="U100" s="2427"/>
      <c r="V100" s="2427"/>
      <c r="W100" s="2427"/>
      <c r="X100" s="2427"/>
      <c r="Y100" s="2427"/>
      <c r="Z100" s="2427"/>
      <c r="AA100" s="2427"/>
      <c r="AB100" s="2427"/>
      <c r="AC100" s="2427"/>
      <c r="AD100" s="2427"/>
      <c r="AE100" s="2427"/>
      <c r="AF100" s="2427"/>
      <c r="AG100" s="2427"/>
      <c r="AH100" s="2427"/>
      <c r="AI100" s="2427"/>
      <c r="AJ100" s="2428"/>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19">
        <f>Application!AC761</f>
        <v>0.57241379310344831</v>
      </c>
      <c r="F102" s="2420"/>
      <c r="G102" s="2420"/>
      <c r="H102" s="2420"/>
      <c r="I102" s="575"/>
      <c r="J102" s="578" t="s">
        <v>1319</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19">
        <f ca="1">SUMIF(Application!AC726:AG760,0.2,Application!G726:J760)/Application!G761+SUMIF(Application!AC726:AG760,0.25,Application!G726:J760)/Application!G761+SUMIF(Application!AC726:AG760,0.3,Application!G726:J760)/Application!G761</f>
        <v>0.10344827586206896</v>
      </c>
      <c r="F103" s="2420"/>
      <c r="G103" s="2420"/>
      <c r="H103" s="2420"/>
      <c r="I103" s="575"/>
      <c r="J103" s="578" t="s">
        <v>1322</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19">
        <f ca="1">SUMIF(Application!AC726:AG760,0.35,Application!G726:J760)/Application!G761+SUMIF(Application!AC726:AG760,0.4,Application!G726:J760)/Application!G761+SUMIF(Application!AC726:AG760,0.45,Application!G726:J760)/Application!G761+SUMIF(Application!AC726:AG760,0.5,Application!G726:J760)/Application!G761</f>
        <v>0.2019704433497537</v>
      </c>
      <c r="F104" s="2420"/>
      <c r="G104" s="2420"/>
      <c r="H104" s="2420"/>
      <c r="I104" s="575"/>
      <c r="J104" s="578" t="s">
        <v>1323</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54">
        <f ca="1">IF(AND(E102&lt;=0.6,OR(AND(E103&gt;=0.1,E104&gt;=0.1),AND(E103&gt;0.1,(E103+E104)&gt;=0.2))),20,0)</f>
        <v>20</v>
      </c>
      <c r="F105" s="2455"/>
      <c r="G105" s="2455"/>
      <c r="H105" s="2455"/>
      <c r="I105" s="551"/>
      <c r="J105" s="585" t="s">
        <v>1321</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1304</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1324</v>
      </c>
      <c r="AK108" s="2436">
        <f ca="1">MAX(AP94,AP105)</f>
        <v>20</v>
      </c>
      <c r="AL108" s="2437"/>
      <c r="AM108" s="2438"/>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1325</v>
      </c>
      <c r="B111" s="539" t="s">
        <v>1326</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25" t="s">
        <v>1307</v>
      </c>
      <c r="AF111" s="2425"/>
      <c r="AG111" s="2425"/>
      <c r="AH111" s="2425"/>
      <c r="AI111" s="2425"/>
      <c r="AJ111" s="2425"/>
      <c r="AK111" s="2425"/>
      <c r="AL111" s="540"/>
      <c r="AM111" s="540"/>
      <c r="AN111" s="535"/>
      <c r="AO111" s="536" t="str">
        <f>Application!B726</f>
        <v>SRO/Studio</v>
      </c>
      <c r="AQ111" s="536">
        <f>Application!O726</f>
        <v>760</v>
      </c>
    </row>
    <row r="112" spans="1:47" s="536" customFormat="1" ht="12.75" customHeight="1">
      <c r="A112" s="540"/>
      <c r="B112" s="539" t="s">
        <v>1317</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SRO/Studio</v>
      </c>
      <c r="AQ112" s="536">
        <f>Application!O727</f>
        <v>1290</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SRO/Studio</v>
      </c>
      <c r="AQ113" s="536">
        <f>Application!O728</f>
        <v>1555</v>
      </c>
    </row>
    <row r="114" spans="1:52" s="536" customFormat="1" ht="12.75" customHeight="1">
      <c r="A114" s="540"/>
      <c r="B114" s="2397" t="s">
        <v>544</v>
      </c>
      <c r="C114" s="2397"/>
      <c r="D114" s="546" t="s">
        <v>1308</v>
      </c>
      <c r="E114" s="2407" t="s">
        <v>2555</v>
      </c>
      <c r="F114" s="2408"/>
      <c r="G114" s="2408"/>
      <c r="H114" s="2408"/>
      <c r="I114" s="2408"/>
      <c r="J114" s="2408"/>
      <c r="K114" s="2408"/>
      <c r="L114" s="2408"/>
      <c r="M114" s="2408"/>
      <c r="N114" s="2408"/>
      <c r="O114" s="2408"/>
      <c r="P114" s="2408"/>
      <c r="Q114" s="2408"/>
      <c r="R114" s="2408"/>
      <c r="S114" s="2408"/>
      <c r="T114" s="2408"/>
      <c r="U114" s="2408"/>
      <c r="V114" s="2408"/>
      <c r="W114" s="2408"/>
      <c r="X114" s="2408"/>
      <c r="Y114" s="2408"/>
      <c r="Z114" s="2408"/>
      <c r="AA114" s="2408"/>
      <c r="AB114" s="2408"/>
      <c r="AC114" s="2408"/>
      <c r="AD114" s="2408"/>
      <c r="AE114" s="2408"/>
      <c r="AF114" s="2408"/>
      <c r="AG114" s="2408"/>
      <c r="AH114" s="2408"/>
      <c r="AI114" s="2408"/>
      <c r="AJ114" s="2409"/>
      <c r="AK114" s="540"/>
      <c r="AL114" s="540"/>
      <c r="AM114" s="540"/>
      <c r="AN114" s="535"/>
      <c r="AO114" s="536" t="str">
        <f>Application!B729</f>
        <v>SRO/Studio</v>
      </c>
      <c r="AQ114" s="536">
        <f>Application!O729</f>
        <v>1577</v>
      </c>
      <c r="AU114" s="536" t="s">
        <v>1815</v>
      </c>
      <c r="AV114" s="593" t="s">
        <v>1816</v>
      </c>
      <c r="AW114" s="536" t="s">
        <v>1817</v>
      </c>
    </row>
    <row r="115" spans="1:52" s="536" customFormat="1" ht="12.75" customHeight="1">
      <c r="A115" s="540"/>
      <c r="B115" s="539"/>
      <c r="C115" s="539"/>
      <c r="D115" s="539"/>
      <c r="E115" s="2426"/>
      <c r="F115" s="2427"/>
      <c r="G115" s="2427"/>
      <c r="H115" s="2427"/>
      <c r="I115" s="2427"/>
      <c r="J115" s="2427"/>
      <c r="K115" s="2427"/>
      <c r="L115" s="2427"/>
      <c r="M115" s="2427"/>
      <c r="N115" s="2427"/>
      <c r="O115" s="2427"/>
      <c r="P115" s="2427"/>
      <c r="Q115" s="2427"/>
      <c r="R115" s="2427"/>
      <c r="S115" s="2427"/>
      <c r="T115" s="2427"/>
      <c r="U115" s="2427"/>
      <c r="V115" s="2427"/>
      <c r="W115" s="2427"/>
      <c r="X115" s="2427"/>
      <c r="Y115" s="2427"/>
      <c r="Z115" s="2427"/>
      <c r="AA115" s="2427"/>
      <c r="AB115" s="2427"/>
      <c r="AC115" s="2427"/>
      <c r="AD115" s="2427"/>
      <c r="AE115" s="2427"/>
      <c r="AF115" s="2427"/>
      <c r="AG115" s="2427"/>
      <c r="AH115" s="2427"/>
      <c r="AI115" s="2427"/>
      <c r="AJ115" s="2428"/>
      <c r="AK115" s="540"/>
      <c r="AL115" s="540"/>
      <c r="AM115" s="540"/>
      <c r="AN115" s="535"/>
      <c r="AO115" s="536" t="str">
        <f>Application!B730</f>
        <v>1 Bedroom</v>
      </c>
      <c r="AQ115" s="536">
        <f>Application!O730</f>
        <v>804</v>
      </c>
      <c r="AU115" s="852" t="str">
        <f>E123</f>
        <v>Studio/SRO</v>
      </c>
      <c r="AV115" s="536">
        <f t="array" ref="AV115">SUM(IF(Application!B726:F760="SRO/Studio",Application!G726:J760))</f>
        <v>4</v>
      </c>
      <c r="AW115" s="1006">
        <f>AV115/AV121</f>
        <v>1.9704433497536946E-2</v>
      </c>
    </row>
    <row r="116" spans="1:52" s="536" customFormat="1" ht="12.75" customHeight="1">
      <c r="A116" s="540"/>
      <c r="B116" s="539"/>
      <c r="C116" s="539"/>
      <c r="D116" s="539"/>
      <c r="E116" s="2426"/>
      <c r="F116" s="2427"/>
      <c r="G116" s="2427"/>
      <c r="H116" s="2427"/>
      <c r="I116" s="2427"/>
      <c r="J116" s="2427"/>
      <c r="K116" s="2427"/>
      <c r="L116" s="2427"/>
      <c r="M116" s="2427"/>
      <c r="N116" s="2427"/>
      <c r="O116" s="2427"/>
      <c r="P116" s="2427"/>
      <c r="Q116" s="2427"/>
      <c r="R116" s="2427"/>
      <c r="S116" s="2427"/>
      <c r="T116" s="2427"/>
      <c r="U116" s="2427"/>
      <c r="V116" s="2427"/>
      <c r="W116" s="2427"/>
      <c r="X116" s="2427"/>
      <c r="Y116" s="2427"/>
      <c r="Z116" s="2427"/>
      <c r="AA116" s="2427"/>
      <c r="AB116" s="2427"/>
      <c r="AC116" s="2427"/>
      <c r="AD116" s="2427"/>
      <c r="AE116" s="2427"/>
      <c r="AF116" s="2427"/>
      <c r="AG116" s="2427"/>
      <c r="AH116" s="2427"/>
      <c r="AI116" s="2427"/>
      <c r="AJ116" s="2428"/>
      <c r="AK116" s="540"/>
      <c r="AL116" s="540"/>
      <c r="AM116" s="540"/>
      <c r="AN116" s="535"/>
      <c r="AO116" s="536" t="str">
        <f>Application!B731</f>
        <v>1 Bedroom</v>
      </c>
      <c r="AQ116" s="536">
        <f>Application!O731</f>
        <v>1372</v>
      </c>
      <c r="AU116" s="852" t="str">
        <f>J123</f>
        <v>1-bedroom</v>
      </c>
      <c r="AV116" s="536">
        <f t="array" ref="AV116">SUM(IF(Application!B726:F760="1 Bedroom",Application!G726:J760))</f>
        <v>79</v>
      </c>
      <c r="AW116" s="1006">
        <f>AV116/AV121</f>
        <v>0.3891625615763547</v>
      </c>
    </row>
    <row r="117" spans="1:52" s="536" customFormat="1" ht="12.75" customHeight="1">
      <c r="A117" s="540"/>
      <c r="B117" s="539"/>
      <c r="C117" s="539"/>
      <c r="D117" s="539"/>
      <c r="E117" s="2426"/>
      <c r="F117" s="2427"/>
      <c r="G117" s="2427"/>
      <c r="H117" s="2427"/>
      <c r="I117" s="2427"/>
      <c r="J117" s="2427"/>
      <c r="K117" s="2427"/>
      <c r="L117" s="2427"/>
      <c r="M117" s="2427"/>
      <c r="N117" s="2427"/>
      <c r="O117" s="2427"/>
      <c r="P117" s="2427"/>
      <c r="Q117" s="2427"/>
      <c r="R117" s="2427"/>
      <c r="S117" s="2427"/>
      <c r="T117" s="2427"/>
      <c r="U117" s="2427"/>
      <c r="V117" s="2427"/>
      <c r="W117" s="2427"/>
      <c r="X117" s="2427"/>
      <c r="Y117" s="2427"/>
      <c r="Z117" s="2427"/>
      <c r="AA117" s="2427"/>
      <c r="AB117" s="2427"/>
      <c r="AC117" s="2427"/>
      <c r="AD117" s="2427"/>
      <c r="AE117" s="2427"/>
      <c r="AF117" s="2427"/>
      <c r="AG117" s="2427"/>
      <c r="AH117" s="2427"/>
      <c r="AI117" s="2427"/>
      <c r="AJ117" s="2428"/>
      <c r="AK117" s="540"/>
      <c r="AL117" s="540"/>
      <c r="AM117" s="540"/>
      <c r="AN117" s="535"/>
      <c r="AO117" s="536" t="str">
        <f>Application!B732</f>
        <v>1 Bedroom</v>
      </c>
      <c r="AQ117" s="536">
        <f>Application!O732</f>
        <v>1656</v>
      </c>
      <c r="AU117" s="852" t="str">
        <f>O123</f>
        <v>2-bedroom</v>
      </c>
      <c r="AV117" s="536">
        <f t="array" ref="AV117">SUM(IF(Application!B726:F760="2 Bedrooms",Application!G726:J760))</f>
        <v>120</v>
      </c>
      <c r="AW117" s="1006">
        <f>AV117/AV121</f>
        <v>0.59113300492610843</v>
      </c>
    </row>
    <row r="118" spans="1:52" s="536" customFormat="1" ht="12.75" customHeight="1">
      <c r="A118" s="540"/>
      <c r="B118" s="539"/>
      <c r="C118" s="539"/>
      <c r="D118" s="539"/>
      <c r="E118" s="2426"/>
      <c r="F118" s="2427"/>
      <c r="G118" s="2427"/>
      <c r="H118" s="2427"/>
      <c r="I118" s="2427"/>
      <c r="J118" s="2427"/>
      <c r="K118" s="2427"/>
      <c r="L118" s="2427"/>
      <c r="M118" s="2427"/>
      <c r="N118" s="2427"/>
      <c r="O118" s="2427"/>
      <c r="P118" s="2427"/>
      <c r="Q118" s="2427"/>
      <c r="R118" s="2427"/>
      <c r="S118" s="2427"/>
      <c r="T118" s="2427"/>
      <c r="U118" s="2427"/>
      <c r="V118" s="2427"/>
      <c r="W118" s="2427"/>
      <c r="X118" s="2427"/>
      <c r="Y118" s="2427"/>
      <c r="Z118" s="2427"/>
      <c r="AA118" s="2427"/>
      <c r="AB118" s="2427"/>
      <c r="AC118" s="2427"/>
      <c r="AD118" s="2427"/>
      <c r="AE118" s="2427"/>
      <c r="AF118" s="2427"/>
      <c r="AG118" s="2427"/>
      <c r="AH118" s="2427"/>
      <c r="AI118" s="2427"/>
      <c r="AJ118" s="2428"/>
      <c r="AK118" s="540"/>
      <c r="AL118" s="540"/>
      <c r="AM118" s="540"/>
      <c r="AN118" s="535"/>
      <c r="AO118" s="536" t="str">
        <f>Application!B733</f>
        <v>1 Bedroom</v>
      </c>
      <c r="AQ118" s="536">
        <f>Application!O733</f>
        <v>1781</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426"/>
      <c r="F119" s="2427"/>
      <c r="G119" s="2427"/>
      <c r="H119" s="2427"/>
      <c r="I119" s="2427"/>
      <c r="J119" s="2427"/>
      <c r="K119" s="2427"/>
      <c r="L119" s="2427"/>
      <c r="M119" s="2427"/>
      <c r="N119" s="2427"/>
      <c r="O119" s="2427"/>
      <c r="P119" s="2427"/>
      <c r="Q119" s="2427"/>
      <c r="R119" s="2427"/>
      <c r="S119" s="2427"/>
      <c r="T119" s="2427"/>
      <c r="U119" s="2427"/>
      <c r="V119" s="2427"/>
      <c r="W119" s="2427"/>
      <c r="X119" s="2427"/>
      <c r="Y119" s="2427"/>
      <c r="Z119" s="2427"/>
      <c r="AA119" s="2427"/>
      <c r="AB119" s="2427"/>
      <c r="AC119" s="2427"/>
      <c r="AD119" s="2427"/>
      <c r="AE119" s="2427"/>
      <c r="AF119" s="2427"/>
      <c r="AG119" s="2427"/>
      <c r="AH119" s="2427"/>
      <c r="AI119" s="2427"/>
      <c r="AJ119" s="2428"/>
      <c r="AK119" s="540"/>
      <c r="AL119" s="540"/>
      <c r="AM119" s="540"/>
      <c r="AN119" s="535"/>
      <c r="AO119" s="536" t="str">
        <f>Application!B734</f>
        <v>2 Bedrooms</v>
      </c>
      <c r="AQ119" s="536">
        <f>Application!O734</f>
        <v>959.8</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26"/>
      <c r="F120" s="2427"/>
      <c r="G120" s="2427"/>
      <c r="H120" s="2427"/>
      <c r="I120" s="2427"/>
      <c r="J120" s="2427"/>
      <c r="K120" s="2427"/>
      <c r="L120" s="2427"/>
      <c r="M120" s="2427"/>
      <c r="N120" s="2427"/>
      <c r="O120" s="2427"/>
      <c r="P120" s="2427"/>
      <c r="Q120" s="2427"/>
      <c r="R120" s="2427"/>
      <c r="S120" s="2427"/>
      <c r="T120" s="2427"/>
      <c r="U120" s="2427"/>
      <c r="V120" s="2427"/>
      <c r="W120" s="2427"/>
      <c r="X120" s="2427"/>
      <c r="Y120" s="2427"/>
      <c r="Z120" s="2427"/>
      <c r="AA120" s="2427"/>
      <c r="AB120" s="2427"/>
      <c r="AC120" s="2427"/>
      <c r="AD120" s="2427"/>
      <c r="AE120" s="2427"/>
      <c r="AF120" s="2427"/>
      <c r="AG120" s="2427"/>
      <c r="AH120" s="2427"/>
      <c r="AI120" s="2427"/>
      <c r="AJ120" s="2428"/>
      <c r="AK120" s="540"/>
      <c r="AL120" s="540"/>
      <c r="AM120" s="540"/>
      <c r="AN120" s="535"/>
      <c r="AO120" s="536" t="str">
        <f>Application!B735</f>
        <v>2 Bedrooms</v>
      </c>
      <c r="AQ120" s="536">
        <f>Application!O735</f>
        <v>1641</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26"/>
      <c r="F121" s="2427"/>
      <c r="G121" s="2427"/>
      <c r="H121" s="2427"/>
      <c r="I121" s="2427"/>
      <c r="J121" s="2427"/>
      <c r="K121" s="2427"/>
      <c r="L121" s="2427"/>
      <c r="M121" s="2427"/>
      <c r="N121" s="2427"/>
      <c r="O121" s="2427"/>
      <c r="P121" s="2427"/>
      <c r="Q121" s="2427"/>
      <c r="R121" s="2427"/>
      <c r="S121" s="2427"/>
      <c r="T121" s="2427"/>
      <c r="U121" s="2427"/>
      <c r="V121" s="2427"/>
      <c r="W121" s="2427"/>
      <c r="X121" s="2427"/>
      <c r="Y121" s="2427"/>
      <c r="Z121" s="2427"/>
      <c r="AA121" s="2427"/>
      <c r="AB121" s="2427"/>
      <c r="AC121" s="2427"/>
      <c r="AD121" s="2427"/>
      <c r="AE121" s="2427"/>
      <c r="AF121" s="2427"/>
      <c r="AG121" s="2427"/>
      <c r="AH121" s="2427"/>
      <c r="AI121" s="2427"/>
      <c r="AJ121" s="2428"/>
      <c r="AK121" s="540"/>
      <c r="AL121" s="540"/>
      <c r="AM121" s="540"/>
      <c r="AN121" s="535"/>
      <c r="AO121" s="536" t="str">
        <f>Application!B736</f>
        <v>2 Bedrooms</v>
      </c>
      <c r="AQ121" s="536">
        <f>Application!O736</f>
        <v>1981.6</v>
      </c>
      <c r="AV121" s="536">
        <f>SUM(AV115:AV120)</f>
        <v>203</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2 Bedrooms</v>
      </c>
      <c r="AQ122" s="536">
        <f>Application!O737</f>
        <v>2131.6</v>
      </c>
    </row>
    <row r="123" spans="1:52" s="536" customFormat="1" ht="12.75" customHeight="1">
      <c r="A123" s="540"/>
      <c r="B123" s="539"/>
      <c r="C123" s="540"/>
      <c r="D123" s="540"/>
      <c r="E123" s="2419" t="s">
        <v>1576</v>
      </c>
      <c r="F123" s="2420"/>
      <c r="G123" s="2420"/>
      <c r="H123" s="2420"/>
      <c r="I123" s="575"/>
      <c r="J123" s="2420" t="s">
        <v>1619</v>
      </c>
      <c r="K123" s="2420"/>
      <c r="L123" s="2420"/>
      <c r="M123" s="2420"/>
      <c r="N123" s="575"/>
      <c r="O123" s="2420" t="s">
        <v>1620</v>
      </c>
      <c r="P123" s="2420"/>
      <c r="Q123" s="2420"/>
      <c r="R123" s="2420"/>
      <c r="S123" s="575"/>
      <c r="T123" s="2420" t="s">
        <v>1327</v>
      </c>
      <c r="U123" s="2420"/>
      <c r="V123" s="2420"/>
      <c r="W123" s="2420"/>
      <c r="X123" s="575"/>
      <c r="Y123" s="2420" t="s">
        <v>1621</v>
      </c>
      <c r="Z123" s="2420"/>
      <c r="AA123" s="2420"/>
      <c r="AB123" s="2420"/>
      <c r="AC123" s="575"/>
      <c r="AD123" s="2420" t="s">
        <v>1622</v>
      </c>
      <c r="AE123" s="2420"/>
      <c r="AF123" s="2420"/>
      <c r="AG123" s="2420"/>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1623</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56">
        <v>1791</v>
      </c>
      <c r="F126" s="2457"/>
      <c r="G126" s="2457"/>
      <c r="H126" s="2457"/>
      <c r="I126" s="860"/>
      <c r="J126" s="2457">
        <v>2410</v>
      </c>
      <c r="K126" s="2457"/>
      <c r="L126" s="2457"/>
      <c r="M126" s="2457"/>
      <c r="N126" s="860"/>
      <c r="O126" s="2457">
        <v>2967</v>
      </c>
      <c r="P126" s="2457"/>
      <c r="Q126" s="2457"/>
      <c r="R126" s="2457"/>
      <c r="S126" s="860"/>
      <c r="T126" s="2457"/>
      <c r="U126" s="2457"/>
      <c r="V126" s="2457"/>
      <c r="W126" s="2457"/>
      <c r="X126" s="860"/>
      <c r="Y126" s="2457"/>
      <c r="Z126" s="2457"/>
      <c r="AA126" s="2457"/>
      <c r="AB126" s="2457"/>
      <c r="AC126" s="860"/>
      <c r="AD126" s="2457"/>
      <c r="AE126" s="2457"/>
      <c r="AF126" s="2457"/>
      <c r="AG126" s="2457"/>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30">
        <f>Application!DX678</f>
        <v>1295.5</v>
      </c>
      <c r="F129" s="2431"/>
      <c r="G129" s="2431"/>
      <c r="H129" s="2431"/>
      <c r="I129" s="860"/>
      <c r="J129" s="2431">
        <f>Application!EC678</f>
        <v>1524.8607594936709</v>
      </c>
      <c r="K129" s="2431"/>
      <c r="L129" s="2431"/>
      <c r="M129" s="2431"/>
      <c r="N129" s="860"/>
      <c r="O129" s="2431">
        <f>Application!EH678</f>
        <v>1860.05</v>
      </c>
      <c r="P129" s="2431"/>
      <c r="Q129" s="2431"/>
      <c r="R129" s="2431"/>
      <c r="S129" s="864"/>
      <c r="T129" s="2431">
        <f>Application!EM678</f>
        <v>0</v>
      </c>
      <c r="U129" s="2431"/>
      <c r="V129" s="2431"/>
      <c r="W129" s="2431"/>
      <c r="X129" s="864"/>
      <c r="Y129" s="2431">
        <f>Application!ER678</f>
        <v>0</v>
      </c>
      <c r="Z129" s="2431"/>
      <c r="AA129" s="2431"/>
      <c r="AB129" s="2431"/>
      <c r="AC129" s="864"/>
      <c r="AD129" s="2431">
        <f>Application!EW678</f>
        <v>0</v>
      </c>
      <c r="AE129" s="2431"/>
      <c r="AF129" s="2431"/>
      <c r="AG129" s="2431"/>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29">
        <f>(E126-E129)/E126</f>
        <v>0.27666108319374649</v>
      </c>
      <c r="F132" s="2422"/>
      <c r="G132" s="2422"/>
      <c r="H132" s="2630"/>
      <c r="I132" s="575"/>
      <c r="J132" s="2629">
        <f>(J126-J129)/J126</f>
        <v>0.36727769315615316</v>
      </c>
      <c r="K132" s="2422"/>
      <c r="L132" s="2422"/>
      <c r="M132" s="2630"/>
      <c r="N132" s="575"/>
      <c r="O132" s="2629">
        <f>(O126-O129)/O126</f>
        <v>0.37308729356252107</v>
      </c>
      <c r="P132" s="2422"/>
      <c r="Q132" s="2422"/>
      <c r="R132" s="2630"/>
      <c r="S132" s="575"/>
      <c r="T132" s="2629" t="e">
        <f>(T126-T129)/T126</f>
        <v>#DIV/0!</v>
      </c>
      <c r="U132" s="2422"/>
      <c r="V132" s="2422"/>
      <c r="W132" s="2630"/>
      <c r="X132" s="575"/>
      <c r="Y132" s="2629" t="e">
        <f>(Y126-Y129)/Y126</f>
        <v>#DIV/0!</v>
      </c>
      <c r="Z132" s="2422"/>
      <c r="AA132" s="2422"/>
      <c r="AB132" s="2630"/>
      <c r="AC132" s="575"/>
      <c r="AD132" s="2629" t="e">
        <f>(AD126-AD129)/AD126</f>
        <v>#DIV/0!</v>
      </c>
      <c r="AE132" s="2422"/>
      <c r="AF132" s="2422"/>
      <c r="AG132" s="2630"/>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45">
        <f>IF(((E132-0.1)*AW115)&gt;0,((E132-0.1)*AW115),0)</f>
        <v>3.4810065653940194E-3</v>
      </c>
      <c r="F135" s="2446"/>
      <c r="G135" s="2446"/>
      <c r="H135" s="2447"/>
      <c r="I135" s="575"/>
      <c r="J135" s="2445">
        <f>IF(((J132-0.1)*AW116)&gt;0,((J132-0.1)*AW116),0)</f>
        <v>0.10401447172086747</v>
      </c>
      <c r="K135" s="2446"/>
      <c r="L135" s="2446"/>
      <c r="M135" s="2447"/>
      <c r="N135" s="575"/>
      <c r="O135" s="2445">
        <f>IF(((O132-0.1)*AW117)&gt;0,((O132-0.1)*AW117),0)</f>
        <v>0.16143091245075136</v>
      </c>
      <c r="P135" s="2446"/>
      <c r="Q135" s="2446"/>
      <c r="R135" s="2447"/>
      <c r="S135" s="575"/>
      <c r="T135" s="2445" t="e">
        <f>IF(((T132-0.1)*AW118)&gt;0,((T132-0.1)*AW118),0)</f>
        <v>#DIV/0!</v>
      </c>
      <c r="U135" s="2446"/>
      <c r="V135" s="2446"/>
      <c r="W135" s="2447"/>
      <c r="X135" s="575"/>
      <c r="Y135" s="2445" t="e">
        <f>IF(((Y132-0.1)*AW119)&gt;0,((Y132-0.1)*AW119),0)</f>
        <v>#DIV/0!</v>
      </c>
      <c r="Z135" s="2446"/>
      <c r="AA135" s="2446"/>
      <c r="AB135" s="2447"/>
      <c r="AC135" s="575"/>
      <c r="AD135" s="2445" t="e">
        <f>IF(((AD132-0.1)*AW120)&gt;0,((AD132-0.1)*AW120),0)</f>
        <v>#DIV/0!</v>
      </c>
      <c r="AE135" s="2446"/>
      <c r="AF135" s="2446"/>
      <c r="AG135" s="2447"/>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29">
        <f>ROUNDDOWN(SUMIF(E135:AG135,"&gt;0"),2)</f>
        <v>0.26</v>
      </c>
      <c r="F137" s="2422"/>
      <c r="G137" s="2422"/>
      <c r="H137" s="2630"/>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36">
        <f>IF((E137*100)&gt;10,10,E137*100)</f>
        <v>10</v>
      </c>
      <c r="F138" s="2437"/>
      <c r="G138" s="2437"/>
      <c r="H138" s="2438"/>
      <c r="I138" s="575"/>
      <c r="J138" s="578" t="s">
        <v>1321</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1328</v>
      </c>
      <c r="AK142" s="2436">
        <f>E138</f>
        <v>10</v>
      </c>
      <c r="AL142" s="2437"/>
      <c r="AM142" s="2438"/>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1329</v>
      </c>
      <c r="AE145" s="2425" t="s">
        <v>1307</v>
      </c>
      <c r="AF145" s="2425"/>
      <c r="AG145" s="2425"/>
      <c r="AH145" s="2425"/>
      <c r="AI145" s="2425"/>
      <c r="AJ145" s="2425"/>
      <c r="AK145" s="2425"/>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1330</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58" t="s">
        <v>1331</v>
      </c>
      <c r="AG147" s="2458"/>
      <c r="AH147" s="2458"/>
      <c r="AI147" s="2458"/>
      <c r="AJ147" s="2458"/>
      <c r="AK147" s="2458"/>
      <c r="AL147" s="2458"/>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68" t="s">
        <v>2654</v>
      </c>
      <c r="C149" s="2468"/>
      <c r="D149" s="2468"/>
      <c r="E149" s="2468"/>
      <c r="F149" s="2468"/>
      <c r="G149" s="2468"/>
      <c r="H149" s="2468"/>
      <c r="I149" s="2468"/>
      <c r="J149" s="2468"/>
      <c r="K149" s="2468"/>
      <c r="L149" s="2468"/>
      <c r="M149" s="2468"/>
      <c r="N149" s="2468"/>
      <c r="O149" s="2468"/>
      <c r="P149" s="2468"/>
      <c r="Q149" s="2468"/>
      <c r="R149" s="2468"/>
      <c r="S149" s="2468"/>
      <c r="T149" s="2468"/>
      <c r="U149" s="2468"/>
      <c r="V149" s="2468"/>
      <c r="W149" s="2468"/>
      <c r="X149" s="2468"/>
      <c r="Y149" s="2468"/>
      <c r="Z149" s="2468"/>
      <c r="AA149" s="2468"/>
      <c r="AB149" s="2468"/>
      <c r="AC149" s="2468"/>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1332</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1333</v>
      </c>
      <c r="AP151" s="489">
        <v>5</v>
      </c>
    </row>
    <row r="152" spans="1:42" s="536" customFormat="1" ht="12.75" customHeight="1">
      <c r="A152" s="538"/>
      <c r="B152" s="2469" t="s">
        <v>1334</v>
      </c>
      <c r="C152" s="2469"/>
      <c r="D152" s="2469"/>
      <c r="E152" s="2469"/>
      <c r="F152" s="2469"/>
      <c r="G152" s="2469"/>
      <c r="H152" s="2469"/>
      <c r="I152" s="2469"/>
      <c r="J152" s="2469"/>
      <c r="K152" s="2469"/>
      <c r="L152" s="2469"/>
      <c r="M152" s="2469"/>
      <c r="N152" s="2469"/>
      <c r="O152" s="2469"/>
      <c r="P152" s="2469"/>
      <c r="Q152" s="2469"/>
      <c r="R152" s="2469"/>
      <c r="S152" s="2469"/>
      <c r="T152" s="2469"/>
      <c r="U152" s="2469"/>
      <c r="V152" s="2469"/>
      <c r="W152" s="2469"/>
      <c r="X152" s="2469"/>
      <c r="Y152" s="2469"/>
      <c r="Z152" s="2469"/>
      <c r="AA152" s="2469"/>
      <c r="AB152" s="2469"/>
      <c r="AC152" s="2469"/>
      <c r="AD152" s="2469"/>
      <c r="AE152" s="2469"/>
      <c r="AF152" s="2469"/>
      <c r="AG152" s="2469"/>
      <c r="AH152" s="2469"/>
      <c r="AI152" s="2469"/>
      <c r="AM152" s="539"/>
      <c r="AN152" s="535"/>
      <c r="AO152" s="476" t="s">
        <v>1334</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2614</v>
      </c>
      <c r="AP153" s="489">
        <v>7</v>
      </c>
    </row>
    <row r="154" spans="1:42" s="536" customFormat="1" ht="12.75" customHeight="1">
      <c r="A154" s="538"/>
      <c r="B154" s="539" t="s">
        <v>1335</v>
      </c>
      <c r="AB154" s="2470" t="s">
        <v>590</v>
      </c>
      <c r="AC154" s="2470"/>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1336</v>
      </c>
      <c r="AP155" s="489"/>
    </row>
    <row r="156" spans="1:42" s="536" customFormat="1" ht="12.75" customHeight="1">
      <c r="A156" s="538"/>
      <c r="B156" s="538" t="s">
        <v>1337</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1338</v>
      </c>
      <c r="AP156" s="489">
        <v>5</v>
      </c>
    </row>
    <row r="157" spans="1:42" s="536" customFormat="1" ht="12.75" customHeight="1">
      <c r="A157" s="538"/>
      <c r="B157" s="2469" t="s">
        <v>1336</v>
      </c>
      <c r="C157" s="2469"/>
      <c r="D157" s="2469"/>
      <c r="E157" s="2469"/>
      <c r="F157" s="2469"/>
      <c r="G157" s="2469"/>
      <c r="H157" s="2469"/>
      <c r="I157" s="2469"/>
      <c r="J157" s="2469"/>
      <c r="K157" s="2469"/>
      <c r="L157" s="2469"/>
      <c r="M157" s="2469"/>
      <c r="N157" s="2469"/>
      <c r="O157" s="2469"/>
      <c r="P157" s="2469"/>
      <c r="Q157" s="2469"/>
      <c r="R157" s="2469"/>
      <c r="S157" s="2469"/>
      <c r="T157" s="2469"/>
      <c r="U157" s="2469"/>
      <c r="V157" s="2469"/>
      <c r="W157" s="2469"/>
      <c r="X157" s="2469"/>
      <c r="Y157" s="2469"/>
      <c r="Z157" s="2469"/>
      <c r="AA157" s="2469"/>
      <c r="AB157" s="2469"/>
      <c r="AC157" s="2469"/>
      <c r="AD157" s="2469"/>
      <c r="AE157" s="2469"/>
      <c r="AF157" s="2469"/>
      <c r="AG157" s="2469"/>
      <c r="AH157" s="2469"/>
      <c r="AI157" s="2469"/>
      <c r="AJ157" s="2469"/>
      <c r="AN157" s="535"/>
      <c r="AO157" s="476" t="s">
        <v>1339</v>
      </c>
      <c r="AP157" s="489">
        <v>7</v>
      </c>
    </row>
    <row r="158" spans="1:42" s="536" customFormat="1" ht="12.75" customHeight="1">
      <c r="B158" s="539" t="s">
        <v>1340</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34" t="s">
        <v>2398</v>
      </c>
      <c r="C160" s="2634"/>
      <c r="D160" s="2634"/>
      <c r="E160" s="2634"/>
      <c r="F160" s="2634"/>
      <c r="G160" s="2634"/>
      <c r="H160" s="2634"/>
      <c r="I160" s="2634"/>
      <c r="J160" s="2634"/>
      <c r="K160" s="2634"/>
      <c r="L160" s="2634"/>
      <c r="M160" s="2634"/>
      <c r="N160" s="2634"/>
      <c r="O160" s="2634"/>
      <c r="P160" s="2634"/>
      <c r="Q160" s="2634"/>
      <c r="R160" s="2634"/>
      <c r="S160" s="2634"/>
      <c r="T160" s="2634"/>
      <c r="U160" s="2634"/>
      <c r="V160" s="2634"/>
      <c r="W160" s="2634"/>
      <c r="X160" s="2634"/>
      <c r="Y160" s="2634"/>
      <c r="Z160" s="2634"/>
      <c r="AA160" s="2634"/>
      <c r="AB160" s="2634"/>
      <c r="AC160" s="2634"/>
      <c r="AD160" s="2634"/>
      <c r="AE160" s="2634"/>
      <c r="AF160" s="2634"/>
      <c r="AG160" s="2634"/>
      <c r="AH160" s="2634"/>
      <c r="AI160" s="2634"/>
      <c r="AJ160" s="2634"/>
      <c r="AK160" s="1173"/>
      <c r="AM160" s="539"/>
      <c r="AN160" s="535"/>
      <c r="AO160" s="476"/>
      <c r="AP160" s="489"/>
    </row>
    <row r="161" spans="1:42" s="536" customFormat="1" ht="12.75" customHeight="1">
      <c r="B161" s="2634"/>
      <c r="C161" s="2634"/>
      <c r="D161" s="2634"/>
      <c r="E161" s="2634"/>
      <c r="F161" s="2634"/>
      <c r="G161" s="2634"/>
      <c r="H161" s="2634"/>
      <c r="I161" s="2634"/>
      <c r="J161" s="2634"/>
      <c r="K161" s="2634"/>
      <c r="L161" s="2634"/>
      <c r="M161" s="2634"/>
      <c r="N161" s="2634"/>
      <c r="O161" s="2634"/>
      <c r="P161" s="2634"/>
      <c r="Q161" s="2634"/>
      <c r="R161" s="2634"/>
      <c r="S161" s="2634"/>
      <c r="T161" s="2634"/>
      <c r="U161" s="2634"/>
      <c r="V161" s="2634"/>
      <c r="W161" s="2634"/>
      <c r="X161" s="2634"/>
      <c r="Y161" s="2634"/>
      <c r="Z161" s="2634"/>
      <c r="AA161" s="2634"/>
      <c r="AB161" s="2634"/>
      <c r="AC161" s="2634"/>
      <c r="AD161" s="2634"/>
      <c r="AE161" s="2634"/>
      <c r="AF161" s="2634"/>
      <c r="AG161" s="2634"/>
      <c r="AH161" s="2634"/>
      <c r="AI161" s="2634"/>
      <c r="AJ161" s="2634"/>
      <c r="AK161" s="1173"/>
      <c r="AM161" s="539"/>
      <c r="AN161" s="535"/>
      <c r="AO161" s="476"/>
      <c r="AP161" s="489"/>
    </row>
    <row r="162" spans="1:42" s="536" customFormat="1" ht="12.75" customHeight="1">
      <c r="C162" s="2545" t="s">
        <v>2399</v>
      </c>
      <c r="D162" s="2545"/>
      <c r="E162" s="2545"/>
      <c r="F162" s="2545"/>
      <c r="G162" s="2545"/>
      <c r="H162" s="2545"/>
      <c r="I162" s="2545"/>
      <c r="J162" s="2545"/>
      <c r="K162" s="2545"/>
      <c r="L162" s="2545"/>
      <c r="M162" s="2545"/>
      <c r="N162" s="2545"/>
      <c r="O162" s="2545"/>
      <c r="P162" s="2545"/>
      <c r="Q162" s="2545"/>
      <c r="R162" s="2545"/>
      <c r="S162" s="2545"/>
      <c r="T162" s="2545"/>
      <c r="U162" s="2545"/>
      <c r="V162" s="2545"/>
      <c r="W162" s="2545"/>
      <c r="X162" s="2545"/>
      <c r="Y162" s="2545"/>
      <c r="Z162" s="2545"/>
      <c r="AA162" s="2545"/>
      <c r="AB162" s="2545"/>
      <c r="AC162" s="2545"/>
      <c r="AD162" s="2545"/>
      <c r="AE162" s="2545"/>
      <c r="AF162" s="2545"/>
      <c r="AG162" s="2545"/>
      <c r="AH162" s="2545"/>
      <c r="AI162" s="2545"/>
      <c r="AJ162" s="2545"/>
      <c r="AK162" s="1173"/>
      <c r="AM162" s="539"/>
      <c r="AN162" s="535"/>
      <c r="AO162" s="476"/>
      <c r="AP162" s="489"/>
    </row>
    <row r="163" spans="1:42" s="536" customFormat="1" ht="12.75" customHeight="1">
      <c r="B163" s="1173"/>
      <c r="C163" s="2467" t="s">
        <v>2397</v>
      </c>
      <c r="D163" s="2467"/>
      <c r="E163" s="2467"/>
      <c r="F163" s="2467"/>
      <c r="G163" s="2467"/>
      <c r="H163" s="2467"/>
      <c r="I163" s="2467"/>
      <c r="J163" s="2467"/>
      <c r="K163" s="2467"/>
      <c r="L163" s="2467"/>
      <c r="M163" s="2467"/>
      <c r="N163" s="2467"/>
      <c r="O163" s="2467"/>
      <c r="P163" s="2467"/>
      <c r="Q163" s="2467"/>
      <c r="R163" s="2467"/>
      <c r="S163" s="2467"/>
      <c r="T163" s="2467"/>
      <c r="U163" s="2467"/>
      <c r="V163" s="2467"/>
      <c r="W163" s="2467"/>
      <c r="X163" s="2467"/>
      <c r="Y163" s="2467"/>
      <c r="Z163" s="2467"/>
      <c r="AA163" s="1163"/>
      <c r="AB163" s="1163"/>
      <c r="AC163" s="1163"/>
      <c r="AD163" s="1163"/>
      <c r="AE163" s="1163"/>
      <c r="AF163" s="1163"/>
      <c r="AG163" s="1163"/>
      <c r="AH163" s="1163"/>
      <c r="AJ163" s="2470" t="s">
        <v>590</v>
      </c>
      <c r="AK163" s="2470"/>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1342</v>
      </c>
      <c r="AJ165" s="2473">
        <f>IF($AB$154="N/A",VLOOKUP($B$152,$AO$150:$AP$153,2,FALSE),VLOOKUP($B$157,$AO$155:$AP$157,2,FALSE))</f>
        <v>7</v>
      </c>
      <c r="AK165" s="2473"/>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1344</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58" t="s">
        <v>1345</v>
      </c>
      <c r="AG167" s="2458"/>
      <c r="AH167" s="2458"/>
      <c r="AI167" s="2458"/>
      <c r="AJ167" s="2458"/>
      <c r="AK167" s="2458"/>
      <c r="AL167" s="2458"/>
      <c r="AM167" s="601"/>
      <c r="AN167" s="596"/>
    </row>
    <row r="168" spans="1:42" s="549" customFormat="1" ht="12.75" customHeight="1">
      <c r="A168" s="536"/>
      <c r="B168" s="539" t="s">
        <v>1346</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69" t="s">
        <v>1343</v>
      </c>
      <c r="D169" s="2469"/>
      <c r="E169" s="2469"/>
      <c r="F169" s="2469"/>
      <c r="G169" s="2469"/>
      <c r="H169" s="2469"/>
      <c r="I169" s="2469"/>
      <c r="J169" s="2469"/>
      <c r="K169" s="2469"/>
      <c r="L169" s="2469"/>
      <c r="M169" s="2469"/>
      <c r="N169" s="2469"/>
      <c r="O169" s="2469"/>
      <c r="P169" s="2469"/>
      <c r="Q169" s="2469"/>
      <c r="R169" s="2469"/>
      <c r="S169" s="2469"/>
      <c r="T169" s="2469"/>
      <c r="U169" s="2469"/>
      <c r="V169" s="2469"/>
      <c r="W169" s="2469"/>
      <c r="X169" s="2469"/>
      <c r="Y169" s="2469"/>
      <c r="Z169" s="2469"/>
      <c r="AA169" s="2469"/>
      <c r="AB169" s="2469"/>
      <c r="AC169" s="2469"/>
      <c r="AD169" s="2469"/>
      <c r="AE169" s="2469"/>
      <c r="AF169" s="2469"/>
      <c r="AG169" s="2469"/>
      <c r="AH169" s="2469"/>
      <c r="AI169" s="2469"/>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1341</v>
      </c>
      <c r="AP170" s="597">
        <v>2</v>
      </c>
    </row>
    <row r="171" spans="1:42" s="549" customFormat="1" ht="12.75" customHeight="1">
      <c r="A171" s="536"/>
      <c r="B171" s="536"/>
      <c r="C171" s="539" t="s">
        <v>1348</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70" t="s">
        <v>590</v>
      </c>
      <c r="AG171" s="2470"/>
      <c r="AH171" s="536"/>
      <c r="AI171" s="536"/>
      <c r="AJ171" s="536"/>
      <c r="AK171" s="536"/>
      <c r="AL171" s="536"/>
      <c r="AM171" s="601"/>
      <c r="AN171" s="595"/>
      <c r="AO171" s="476" t="s">
        <v>1343</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2121</v>
      </c>
      <c r="AP172" s="597">
        <v>3</v>
      </c>
    </row>
    <row r="173" spans="1:42" s="549" customFormat="1" ht="12.75" customHeight="1">
      <c r="A173" s="536"/>
      <c r="B173" s="536"/>
      <c r="C173" s="2469" t="s">
        <v>1336</v>
      </c>
      <c r="D173" s="2469"/>
      <c r="E173" s="2469"/>
      <c r="F173" s="2469"/>
      <c r="G173" s="2469"/>
      <c r="H173" s="2469"/>
      <c r="I173" s="2469"/>
      <c r="J173" s="2469"/>
      <c r="K173" s="2469"/>
      <c r="L173" s="2469"/>
      <c r="M173" s="2469"/>
      <c r="N173" s="2469"/>
      <c r="O173" s="2469"/>
      <c r="P173" s="2469"/>
      <c r="Q173" s="2469"/>
      <c r="R173" s="2469"/>
      <c r="S173" s="2469"/>
      <c r="T173" s="2469"/>
      <c r="U173" s="2469"/>
      <c r="V173" s="2469"/>
      <c r="W173" s="2469"/>
      <c r="X173" s="2469"/>
      <c r="Y173" s="2469"/>
      <c r="Z173" s="2469"/>
      <c r="AA173" s="2469"/>
      <c r="AB173" s="2469"/>
      <c r="AC173" s="2469"/>
      <c r="AD173" s="2469"/>
      <c r="AE173" s="536"/>
      <c r="AF173" s="536"/>
      <c r="AG173" s="536"/>
      <c r="AH173" s="536"/>
      <c r="AI173" s="536"/>
      <c r="AJ173" s="536"/>
      <c r="AK173" s="536"/>
      <c r="AL173" s="536"/>
      <c r="AM173" s="601"/>
      <c r="AN173" s="595"/>
      <c r="AO173" s="600"/>
      <c r="AP173" s="597"/>
    </row>
    <row r="174" spans="1:42" s="549" customFormat="1" ht="12.75" customHeight="1">
      <c r="A174" s="536"/>
      <c r="B174" s="536"/>
      <c r="C174" s="539" t="s">
        <v>1340</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1350</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1336</v>
      </c>
      <c r="AP176" s="476"/>
    </row>
    <row r="177" spans="1:73" s="549" customFormat="1" ht="12.75" customHeight="1">
      <c r="A177" s="536"/>
      <c r="B177" s="536"/>
      <c r="C177" s="2471" t="str">
        <f>Application!AA344</f>
        <v xml:space="preserve">VPM Management Inc. </v>
      </c>
      <c r="D177" s="2471"/>
      <c r="E177" s="2471"/>
      <c r="F177" s="2471"/>
      <c r="G177" s="2471"/>
      <c r="H177" s="2471"/>
      <c r="I177" s="2471"/>
      <c r="J177" s="2471"/>
      <c r="K177" s="2471"/>
      <c r="L177" s="2471"/>
      <c r="M177" s="2471"/>
      <c r="N177" s="2471"/>
      <c r="O177" s="2471"/>
      <c r="P177" s="2471"/>
      <c r="Q177" s="2471"/>
      <c r="R177" s="2471"/>
      <c r="S177" s="2471"/>
      <c r="T177" s="2471"/>
      <c r="U177" s="2471"/>
      <c r="V177" s="2471"/>
      <c r="W177" s="2471"/>
      <c r="X177" s="2471"/>
      <c r="Y177" s="2471"/>
      <c r="Z177" s="2471"/>
      <c r="AA177" s="2471"/>
      <c r="AB177" s="2471"/>
      <c r="AC177" s="2471"/>
      <c r="AD177" s="2471"/>
      <c r="AE177" s="536"/>
      <c r="AF177" s="536"/>
      <c r="AG177" s="536"/>
      <c r="AH177" s="536"/>
      <c r="AI177" s="536"/>
      <c r="AJ177" s="536"/>
      <c r="AK177" s="536"/>
      <c r="AL177" s="536"/>
      <c r="AM177" s="601"/>
      <c r="AN177" s="595"/>
      <c r="AO177" s="476" t="s">
        <v>1347</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1349</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1351</v>
      </c>
      <c r="AJ179" s="2472">
        <f>IF($AF$171="N/A",VLOOKUP($C$169,$AO$169:$AP$172,2,FALSE),VLOOKUP($C$173,$AO$176:$AP$178,2,FALSE))</f>
        <v>3</v>
      </c>
      <c r="AK179" s="2472"/>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1352</v>
      </c>
      <c r="AK182" s="2436">
        <f>$AJ$165+$AJ$179</f>
        <v>10</v>
      </c>
      <c r="AL182" s="2437"/>
      <c r="AM182" s="2438"/>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1353</v>
      </c>
      <c r="AQ184" s="610">
        <v>0</v>
      </c>
    </row>
    <row r="185" spans="1:73" s="549" customFormat="1" ht="12.75" customHeight="1">
      <c r="A185" s="538" t="s">
        <v>1354</v>
      </c>
      <c r="B185" s="538" t="s">
        <v>1715</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25" t="s">
        <v>1307</v>
      </c>
      <c r="AF185" s="2425"/>
      <c r="AG185" s="2425"/>
      <c r="AH185" s="2425"/>
      <c r="AI185" s="2425"/>
      <c r="AJ185" s="2425"/>
      <c r="AK185" s="2425"/>
      <c r="AL185" s="589"/>
      <c r="AN185" s="595"/>
      <c r="AP185" s="549" t="s">
        <v>1040</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1355</v>
      </c>
      <c r="AQ186" s="549">
        <v>10</v>
      </c>
    </row>
    <row r="187" spans="1:73" s="549" customFormat="1" ht="12.75" customHeight="1">
      <c r="A187" s="536"/>
      <c r="B187" s="2466" t="s">
        <v>2615</v>
      </c>
      <c r="C187" s="2466"/>
      <c r="D187" s="2466"/>
      <c r="E187" s="2466"/>
      <c r="F187" s="2466"/>
      <c r="G187" s="2466"/>
      <c r="H187" s="2466"/>
      <c r="I187" s="2466"/>
      <c r="J187" s="2466"/>
      <c r="K187" s="2466"/>
      <c r="L187" s="2466"/>
      <c r="M187" s="2466"/>
      <c r="N187" s="2466"/>
      <c r="O187" s="2466"/>
      <c r="P187" s="2466"/>
      <c r="Q187" s="2466"/>
      <c r="R187" s="2466"/>
      <c r="S187" s="2466"/>
      <c r="T187" s="2466"/>
      <c r="U187" s="2466"/>
      <c r="V187" s="2466"/>
      <c r="W187" s="2466"/>
      <c r="X187" s="2466"/>
      <c r="Y187" s="2466"/>
      <c r="Z187" s="2466"/>
      <c r="AA187" s="2466"/>
      <c r="AB187" s="2466"/>
      <c r="AC187" s="2466"/>
      <c r="AD187" s="536"/>
      <c r="AE187" s="536"/>
      <c r="AF187" s="2458" t="s">
        <v>1356</v>
      </c>
      <c r="AG187" s="2458"/>
      <c r="AH187" s="2458"/>
      <c r="AI187" s="2458"/>
      <c r="AJ187" s="2458"/>
      <c r="AK187" s="2458"/>
      <c r="AL187" s="2458"/>
      <c r="AN187" s="595"/>
      <c r="AP187" s="549" t="s">
        <v>1042</v>
      </c>
      <c r="AQ187" s="549">
        <v>10</v>
      </c>
    </row>
    <row r="188" spans="1:73" s="549" customFormat="1" ht="12.75" customHeight="1">
      <c r="A188" s="536"/>
      <c r="B188" s="2467" t="s">
        <v>1714</v>
      </c>
      <c r="C188" s="2467"/>
      <c r="D188" s="2467"/>
      <c r="E188" s="2467"/>
      <c r="F188" s="2467"/>
      <c r="G188" s="2467"/>
      <c r="H188" s="2467"/>
      <c r="I188" s="2467"/>
      <c r="J188" s="2467"/>
      <c r="K188" s="2467"/>
      <c r="L188" s="2467"/>
      <c r="M188" s="2467"/>
      <c r="N188" s="2467"/>
      <c r="O188" s="2467"/>
      <c r="P188" s="2467"/>
      <c r="Q188" s="2467"/>
      <c r="R188" s="2467"/>
      <c r="S188" s="2467"/>
      <c r="T188" s="2468" t="s">
        <v>590</v>
      </c>
      <c r="U188" s="2468"/>
      <c r="V188" s="2468"/>
      <c r="W188" s="2468"/>
      <c r="X188" s="2468"/>
      <c r="Y188" s="2468"/>
      <c r="Z188" s="2468"/>
      <c r="AA188" s="2468"/>
      <c r="AB188" s="2468"/>
      <c r="AC188" s="2468"/>
      <c r="AD188" s="536"/>
      <c r="AE188" s="536"/>
      <c r="AF188" s="536"/>
      <c r="AG188" s="536"/>
      <c r="AH188" s="536"/>
      <c r="AI188" s="536"/>
      <c r="AJ188" s="543"/>
      <c r="AK188" s="593"/>
      <c r="AL188" s="593"/>
      <c r="AM188" s="593"/>
      <c r="AN188" s="595"/>
      <c r="AP188" s="549" t="s">
        <v>1357</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2615</v>
      </c>
      <c r="AQ189" s="549">
        <v>10</v>
      </c>
      <c r="AS189" s="549" t="s">
        <v>1358</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1359</v>
      </c>
      <c r="AK190" s="2483">
        <f>IF(AK83&gt;0,VLOOKUP($B$187,AP184:AQ190,2,FALSE),0)</f>
        <v>10</v>
      </c>
      <c r="AL190" s="2484"/>
      <c r="AM190" s="2485"/>
      <c r="AN190" s="535"/>
      <c r="AP190" s="549" t="s">
        <v>1361</v>
      </c>
      <c r="AQ190" s="549">
        <v>10</v>
      </c>
      <c r="AS190" s="549" t="s">
        <v>1360</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1362</v>
      </c>
      <c r="B193" s="538" t="s">
        <v>1363</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25" t="s">
        <v>1364</v>
      </c>
      <c r="AF193" s="2425"/>
      <c r="AG193" s="2425"/>
      <c r="AH193" s="2425"/>
      <c r="AI193" s="2425"/>
      <c r="AJ193" s="2425"/>
      <c r="AK193" s="2425"/>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1577</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1613</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60"/>
      <c r="C198" s="2460"/>
      <c r="D198" s="2460"/>
      <c r="E198" s="2460"/>
      <c r="F198" s="2460"/>
      <c r="G198" s="2460"/>
      <c r="H198" s="2460"/>
      <c r="I198" s="2460"/>
      <c r="J198" s="2460"/>
      <c r="K198" s="2460"/>
      <c r="L198" s="2460"/>
      <c r="M198" s="2460"/>
      <c r="N198" s="2460"/>
      <c r="O198" s="2460"/>
      <c r="P198" s="2460"/>
      <c r="Q198" s="2460"/>
      <c r="R198" s="2460"/>
      <c r="S198" s="2460"/>
      <c r="T198" s="2460"/>
      <c r="U198" s="2460"/>
      <c r="V198" s="2460"/>
      <c r="W198" s="2460"/>
      <c r="X198" s="2460"/>
      <c r="Y198" s="2460"/>
      <c r="Z198" s="2460"/>
      <c r="AA198" s="2460"/>
      <c r="AB198" s="2460"/>
      <c r="AC198" s="842"/>
      <c r="AD198" s="2461"/>
      <c r="AE198" s="2461"/>
      <c r="AF198" s="2461"/>
      <c r="AG198" s="2461"/>
      <c r="AH198" s="2461"/>
      <c r="AI198" s="2461"/>
      <c r="AJ198" s="2461"/>
      <c r="AK198" s="608"/>
    </row>
    <row r="199" spans="1:37" hidden="1">
      <c r="A199" s="603"/>
      <c r="B199" s="2460"/>
      <c r="C199" s="2460"/>
      <c r="D199" s="2460"/>
      <c r="E199" s="2460"/>
      <c r="F199" s="2460"/>
      <c r="G199" s="2460"/>
      <c r="H199" s="2460"/>
      <c r="I199" s="2460"/>
      <c r="J199" s="2460"/>
      <c r="K199" s="2460"/>
      <c r="L199" s="2460"/>
      <c r="M199" s="2460"/>
      <c r="N199" s="2460"/>
      <c r="O199" s="2460"/>
      <c r="P199" s="2460"/>
      <c r="Q199" s="2460"/>
      <c r="R199" s="2460"/>
      <c r="S199" s="2460"/>
      <c r="T199" s="2460"/>
      <c r="U199" s="2460"/>
      <c r="V199" s="2460"/>
      <c r="W199" s="2460"/>
      <c r="X199" s="2460"/>
      <c r="Y199" s="2460"/>
      <c r="Z199" s="2460"/>
      <c r="AA199" s="2460"/>
      <c r="AB199" s="2460"/>
      <c r="AC199" s="842"/>
      <c r="AD199" s="2461"/>
      <c r="AE199" s="2461"/>
      <c r="AF199" s="2461"/>
      <c r="AG199" s="2461"/>
      <c r="AH199" s="2461"/>
      <c r="AI199" s="2461"/>
      <c r="AJ199" s="2461"/>
      <c r="AK199" s="608"/>
    </row>
    <row r="200" spans="1:37" hidden="1">
      <c r="A200" s="603"/>
      <c r="B200" s="2460"/>
      <c r="C200" s="2460"/>
      <c r="D200" s="2460"/>
      <c r="E200" s="2460"/>
      <c r="F200" s="2460"/>
      <c r="G200" s="2460"/>
      <c r="H200" s="2460"/>
      <c r="I200" s="2460"/>
      <c r="J200" s="2460"/>
      <c r="K200" s="2460"/>
      <c r="L200" s="2460"/>
      <c r="M200" s="2460"/>
      <c r="N200" s="2460"/>
      <c r="O200" s="2460"/>
      <c r="P200" s="2460"/>
      <c r="Q200" s="2460"/>
      <c r="R200" s="2460"/>
      <c r="S200" s="2460"/>
      <c r="T200" s="2460"/>
      <c r="U200" s="2460"/>
      <c r="V200" s="2460"/>
      <c r="W200" s="2460"/>
      <c r="X200" s="2460"/>
      <c r="Y200" s="2460"/>
      <c r="Z200" s="2460"/>
      <c r="AA200" s="2460"/>
      <c r="AB200" s="2460"/>
      <c r="AC200" s="842"/>
      <c r="AD200" s="2461"/>
      <c r="AE200" s="2461"/>
      <c r="AF200" s="2461"/>
      <c r="AG200" s="2461"/>
      <c r="AH200" s="2461"/>
      <c r="AI200" s="2461"/>
      <c r="AJ200" s="2461"/>
      <c r="AK200" s="608"/>
    </row>
    <row r="201" spans="1:37" hidden="1">
      <c r="A201" s="603"/>
      <c r="B201" s="2460"/>
      <c r="C201" s="2460"/>
      <c r="D201" s="2460"/>
      <c r="E201" s="2460"/>
      <c r="F201" s="2460"/>
      <c r="G201" s="2460"/>
      <c r="H201" s="2460"/>
      <c r="I201" s="2460"/>
      <c r="J201" s="2460"/>
      <c r="K201" s="2460"/>
      <c r="L201" s="2460"/>
      <c r="M201" s="2460"/>
      <c r="N201" s="2460"/>
      <c r="O201" s="2460"/>
      <c r="P201" s="2460"/>
      <c r="Q201" s="2460"/>
      <c r="R201" s="2460"/>
      <c r="S201" s="2460"/>
      <c r="T201" s="2460"/>
      <c r="U201" s="2460"/>
      <c r="V201" s="2460"/>
      <c r="W201" s="2460"/>
      <c r="X201" s="2460"/>
      <c r="Y201" s="2460"/>
      <c r="Z201" s="2460"/>
      <c r="AA201" s="2460"/>
      <c r="AB201" s="2460"/>
      <c r="AC201" s="842"/>
      <c r="AD201" s="2461"/>
      <c r="AE201" s="2461"/>
      <c r="AF201" s="2461"/>
      <c r="AG201" s="2461"/>
      <c r="AH201" s="2461"/>
      <c r="AI201" s="2461"/>
      <c r="AJ201" s="2461"/>
      <c r="AK201" s="608"/>
    </row>
    <row r="202" spans="1:37" hidden="1">
      <c r="A202" s="603"/>
      <c r="B202" s="2460"/>
      <c r="C202" s="2460"/>
      <c r="D202" s="2460"/>
      <c r="E202" s="2460"/>
      <c r="F202" s="2460"/>
      <c r="G202" s="2460"/>
      <c r="H202" s="2460"/>
      <c r="I202" s="2460"/>
      <c r="J202" s="2460"/>
      <c r="K202" s="2460"/>
      <c r="L202" s="2460"/>
      <c r="M202" s="2460"/>
      <c r="N202" s="2460"/>
      <c r="O202" s="2460"/>
      <c r="P202" s="2460"/>
      <c r="Q202" s="2460"/>
      <c r="R202" s="2460"/>
      <c r="S202" s="2460"/>
      <c r="T202" s="2460"/>
      <c r="U202" s="2460"/>
      <c r="V202" s="2460"/>
      <c r="W202" s="2460"/>
      <c r="X202" s="2460"/>
      <c r="Y202" s="2460"/>
      <c r="Z202" s="2460"/>
      <c r="AA202" s="2460"/>
      <c r="AB202" s="2460"/>
      <c r="AC202" s="842"/>
      <c r="AD202" s="2461"/>
      <c r="AE202" s="2461"/>
      <c r="AF202" s="2461"/>
      <c r="AG202" s="2461"/>
      <c r="AH202" s="2461"/>
      <c r="AI202" s="2461"/>
      <c r="AJ202" s="2461"/>
      <c r="AK202" s="608"/>
    </row>
    <row r="203" spans="1:37" hidden="1">
      <c r="A203" s="603"/>
      <c r="B203" s="2460"/>
      <c r="C203" s="2460"/>
      <c r="D203" s="2460"/>
      <c r="E203" s="2460"/>
      <c r="F203" s="2460"/>
      <c r="G203" s="2460"/>
      <c r="H203" s="2460"/>
      <c r="I203" s="2460"/>
      <c r="J203" s="2460"/>
      <c r="K203" s="2460"/>
      <c r="L203" s="2460"/>
      <c r="M203" s="2460"/>
      <c r="N203" s="2460"/>
      <c r="O203" s="2460"/>
      <c r="P203" s="2460"/>
      <c r="Q203" s="2460"/>
      <c r="R203" s="2460"/>
      <c r="S203" s="2460"/>
      <c r="T203" s="2460"/>
      <c r="U203" s="2460"/>
      <c r="V203" s="2460"/>
      <c r="W203" s="2460"/>
      <c r="X203" s="2460"/>
      <c r="Y203" s="2460"/>
      <c r="Z203" s="2460"/>
      <c r="AA203" s="2460"/>
      <c r="AB203" s="2460"/>
      <c r="AC203" s="842"/>
      <c r="AD203" s="2461"/>
      <c r="AE203" s="2461"/>
      <c r="AF203" s="2461"/>
      <c r="AG203" s="2461"/>
      <c r="AH203" s="2461"/>
      <c r="AI203" s="2461"/>
      <c r="AJ203" s="2461"/>
      <c r="AK203" s="608"/>
    </row>
    <row r="204" spans="1:37" hidden="1">
      <c r="A204" s="603"/>
      <c r="B204" s="2460"/>
      <c r="C204" s="2460"/>
      <c r="D204" s="2460"/>
      <c r="E204" s="2460"/>
      <c r="F204" s="2460"/>
      <c r="G204" s="2460"/>
      <c r="H204" s="2460"/>
      <c r="I204" s="2460"/>
      <c r="J204" s="2460"/>
      <c r="K204" s="2460"/>
      <c r="L204" s="2460"/>
      <c r="M204" s="2460"/>
      <c r="N204" s="2460"/>
      <c r="O204" s="2460"/>
      <c r="P204" s="2460"/>
      <c r="Q204" s="2460"/>
      <c r="R204" s="2460"/>
      <c r="S204" s="2460"/>
      <c r="T204" s="2460"/>
      <c r="U204" s="2460"/>
      <c r="V204" s="2460"/>
      <c r="W204" s="2460"/>
      <c r="X204" s="2460"/>
      <c r="Y204" s="2460"/>
      <c r="Z204" s="2460"/>
      <c r="AA204" s="2460"/>
      <c r="AB204" s="2460"/>
      <c r="AC204" s="842"/>
      <c r="AD204" s="2461"/>
      <c r="AE204" s="2461"/>
      <c r="AF204" s="2461"/>
      <c r="AG204" s="2461"/>
      <c r="AH204" s="2461"/>
      <c r="AI204" s="2461"/>
      <c r="AJ204" s="2461"/>
      <c r="AK204" s="608"/>
    </row>
    <row r="205" spans="1:37" hidden="1">
      <c r="A205" s="603"/>
      <c r="B205" s="2460"/>
      <c r="C205" s="2460"/>
      <c r="D205" s="2460"/>
      <c r="E205" s="2460"/>
      <c r="F205" s="2460"/>
      <c r="G205" s="2460"/>
      <c r="H205" s="2460"/>
      <c r="I205" s="2460"/>
      <c r="J205" s="2460"/>
      <c r="K205" s="2460"/>
      <c r="L205" s="2460"/>
      <c r="M205" s="2460"/>
      <c r="N205" s="2460"/>
      <c r="O205" s="2460"/>
      <c r="P205" s="2460"/>
      <c r="Q205" s="2460"/>
      <c r="R205" s="2460"/>
      <c r="S205" s="2460"/>
      <c r="T205" s="2460"/>
      <c r="U205" s="2460"/>
      <c r="V205" s="2460"/>
      <c r="W205" s="2460"/>
      <c r="X205" s="2460"/>
      <c r="Y205" s="2460"/>
      <c r="Z205" s="2460"/>
      <c r="AA205" s="2460"/>
      <c r="AB205" s="2460"/>
      <c r="AC205" s="842"/>
      <c r="AD205" s="2461"/>
      <c r="AE205" s="2461"/>
      <c r="AF205" s="2461"/>
      <c r="AG205" s="2461"/>
      <c r="AH205" s="2461"/>
      <c r="AI205" s="2461"/>
      <c r="AJ205" s="2461"/>
      <c r="AK205" s="608"/>
    </row>
    <row r="206" spans="1:37" hidden="1">
      <c r="A206" s="603"/>
      <c r="B206" s="2460"/>
      <c r="C206" s="2460"/>
      <c r="D206" s="2460"/>
      <c r="E206" s="2460"/>
      <c r="F206" s="2460"/>
      <c r="G206" s="2460"/>
      <c r="H206" s="2460"/>
      <c r="I206" s="2460"/>
      <c r="J206" s="2460"/>
      <c r="K206" s="2460"/>
      <c r="L206" s="2460"/>
      <c r="M206" s="2460"/>
      <c r="N206" s="2460"/>
      <c r="O206" s="2460"/>
      <c r="P206" s="2460"/>
      <c r="Q206" s="2460"/>
      <c r="R206" s="2460"/>
      <c r="S206" s="2460"/>
      <c r="T206" s="2460"/>
      <c r="U206" s="2460"/>
      <c r="V206" s="2460"/>
      <c r="W206" s="2460"/>
      <c r="X206" s="2460"/>
      <c r="Y206" s="2460"/>
      <c r="Z206" s="2460"/>
      <c r="AA206" s="2460"/>
      <c r="AB206" s="2460"/>
      <c r="AC206" s="842"/>
      <c r="AD206" s="2461"/>
      <c r="AE206" s="2461"/>
      <c r="AF206" s="2461"/>
      <c r="AG206" s="2461"/>
      <c r="AH206" s="2461"/>
      <c r="AI206" s="2461"/>
      <c r="AJ206" s="2461"/>
      <c r="AK206" s="608"/>
    </row>
    <row r="207" spans="1:37" hidden="1">
      <c r="A207" s="603"/>
      <c r="B207" s="2460"/>
      <c r="C207" s="2460"/>
      <c r="D207" s="2460"/>
      <c r="E207" s="2460"/>
      <c r="F207" s="2460"/>
      <c r="G207" s="2460"/>
      <c r="H207" s="2460"/>
      <c r="I207" s="2460"/>
      <c r="J207" s="2460"/>
      <c r="K207" s="2460"/>
      <c r="L207" s="2460"/>
      <c r="M207" s="2460"/>
      <c r="N207" s="2460"/>
      <c r="O207" s="2460"/>
      <c r="P207" s="2460"/>
      <c r="Q207" s="2460"/>
      <c r="R207" s="2460"/>
      <c r="S207" s="2460"/>
      <c r="T207" s="2460"/>
      <c r="U207" s="2460"/>
      <c r="V207" s="2460"/>
      <c r="W207" s="2460"/>
      <c r="X207" s="2460"/>
      <c r="Y207" s="2460"/>
      <c r="Z207" s="2460"/>
      <c r="AA207" s="2460"/>
      <c r="AB207" s="2460"/>
      <c r="AC207" s="842"/>
      <c r="AD207" s="2461"/>
      <c r="AE207" s="2461"/>
      <c r="AF207" s="2461"/>
      <c r="AG207" s="2461"/>
      <c r="AH207" s="2461"/>
      <c r="AI207" s="2461"/>
      <c r="AJ207" s="2461"/>
      <c r="AK207" s="608"/>
    </row>
    <row r="208" spans="1:37" hidden="1">
      <c r="A208" s="603"/>
      <c r="B208" s="2507" t="s">
        <v>1615</v>
      </c>
      <c r="C208" s="2507"/>
      <c r="D208" s="2507"/>
      <c r="E208" s="2507"/>
      <c r="F208" s="2507"/>
      <c r="G208" s="2507"/>
      <c r="H208" s="2507"/>
      <c r="I208" s="2507"/>
      <c r="J208" s="2507"/>
      <c r="K208" s="2507"/>
      <c r="L208" s="2507"/>
      <c r="M208" s="2507"/>
      <c r="N208" s="2507"/>
      <c r="O208" s="2507"/>
      <c r="P208" s="2507"/>
      <c r="Q208" s="2507"/>
      <c r="R208" s="2507"/>
      <c r="S208" s="2507"/>
      <c r="T208" s="2507"/>
      <c r="U208" s="2507"/>
      <c r="V208" s="2507"/>
      <c r="W208" s="2507"/>
      <c r="X208" s="2507"/>
      <c r="Y208" s="2507"/>
      <c r="Z208" s="2507"/>
      <c r="AA208" s="2507"/>
      <c r="AB208" s="2507"/>
      <c r="AC208" s="536"/>
      <c r="AD208" s="2490">
        <f>AB259</f>
        <v>0</v>
      </c>
      <c r="AE208" s="2490"/>
      <c r="AF208" s="2490"/>
      <c r="AG208" s="2490"/>
      <c r="AH208" s="2490"/>
      <c r="AI208" s="2490"/>
      <c r="AJ208" s="2490"/>
      <c r="AK208" s="608"/>
    </row>
    <row r="209" spans="1:37" hidden="1">
      <c r="A209" s="603"/>
      <c r="B209" s="2645" t="s">
        <v>1578</v>
      </c>
      <c r="C209" s="2645"/>
      <c r="D209" s="2645"/>
      <c r="E209" s="2645"/>
      <c r="F209" s="2645"/>
      <c r="G209" s="2645"/>
      <c r="H209" s="2645"/>
      <c r="I209" s="2645"/>
      <c r="J209" s="2645"/>
      <c r="K209" s="2645"/>
      <c r="L209" s="2645"/>
      <c r="M209" s="2645"/>
      <c r="N209" s="2645"/>
      <c r="O209" s="2645"/>
      <c r="P209" s="2645"/>
      <c r="Q209" s="2645"/>
      <c r="R209" s="2645"/>
      <c r="S209" s="2645"/>
      <c r="T209" s="2645"/>
      <c r="U209" s="2645"/>
      <c r="V209" s="2645"/>
      <c r="W209" s="2645"/>
      <c r="X209" s="2645"/>
      <c r="Y209" s="2645"/>
      <c r="Z209" s="2645"/>
      <c r="AA209" s="2645"/>
      <c r="AB209" s="2645"/>
      <c r="AC209" s="842"/>
      <c r="AD209" s="2491">
        <f>'Sources and Uses Budget'!B15</f>
        <v>0</v>
      </c>
      <c r="AE209" s="2491"/>
      <c r="AF209" s="2491"/>
      <c r="AG209" s="2491"/>
      <c r="AH209" s="2491"/>
      <c r="AI209" s="2491"/>
      <c r="AJ209" s="2491"/>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495">
        <f>SUM(AD198:AJ208)-AD209</f>
        <v>0</v>
      </c>
      <c r="AE210" s="2495"/>
      <c r="AF210" s="2495"/>
      <c r="AG210" s="2495"/>
      <c r="AH210" s="2495"/>
      <c r="AI210" s="2495"/>
      <c r="AJ210" s="2495"/>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1583</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1614</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1585</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1586</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1587</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1588</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64" t="s">
        <v>1595</v>
      </c>
      <c r="J221" s="2464"/>
      <c r="K221" s="2464"/>
      <c r="L221" s="536"/>
      <c r="M221" s="536"/>
      <c r="N221" s="536"/>
      <c r="O221" s="536"/>
      <c r="P221" s="536"/>
      <c r="Q221" s="536"/>
      <c r="R221" s="536"/>
      <c r="S221" s="536"/>
      <c r="T221" s="2632" t="s">
        <v>1589</v>
      </c>
      <c r="U221" s="2632"/>
      <c r="V221" s="2632"/>
      <c r="W221" s="2632"/>
      <c r="X221" s="2632"/>
      <c r="Y221" s="2632"/>
      <c r="Z221" s="845"/>
      <c r="AA221" s="489"/>
      <c r="AB221" s="2459" t="s">
        <v>1590</v>
      </c>
      <c r="AC221" s="2459"/>
      <c r="AD221" s="2459"/>
      <c r="AE221" s="2459"/>
      <c r="AF221" s="2459"/>
      <c r="AG221" s="2459"/>
      <c r="AH221" s="823"/>
      <c r="AI221" s="823"/>
      <c r="AJ221" s="823"/>
      <c r="AK221" s="608"/>
    </row>
    <row r="222" spans="1:37" hidden="1">
      <c r="A222" s="603"/>
      <c r="B222" s="2462" t="s">
        <v>1575</v>
      </c>
      <c r="C222" s="2462"/>
      <c r="D222" s="2462"/>
      <c r="E222" s="2462"/>
      <c r="F222" s="2462"/>
      <c r="G222" s="2462"/>
      <c r="I222" s="2463" t="s">
        <v>1596</v>
      </c>
      <c r="J222" s="2463"/>
      <c r="K222" s="2463"/>
      <c r="L222" s="1003"/>
      <c r="N222" s="2453" t="s">
        <v>1591</v>
      </c>
      <c r="O222" s="2453"/>
      <c r="P222" s="2453"/>
      <c r="Q222" s="2453"/>
      <c r="R222" s="2453"/>
      <c r="T222" s="2453" t="s">
        <v>1592</v>
      </c>
      <c r="U222" s="2453"/>
      <c r="V222" s="2453"/>
      <c r="W222" s="2453"/>
      <c r="X222" s="2453"/>
      <c r="Y222" s="2453"/>
      <c r="Z222" s="846"/>
      <c r="AA222" s="489"/>
      <c r="AB222" s="2611" t="s">
        <v>1593</v>
      </c>
      <c r="AC222" s="2611"/>
      <c r="AD222" s="2611"/>
      <c r="AE222" s="2611"/>
      <c r="AF222" s="2611"/>
      <c r="AG222" s="2611"/>
      <c r="AH222" s="823"/>
      <c r="AI222" s="823"/>
      <c r="AJ222" s="823"/>
      <c r="AK222" s="608"/>
    </row>
    <row r="223" spans="1:37" hidden="1">
      <c r="A223" s="603"/>
      <c r="B223" s="2465" t="s">
        <v>1183</v>
      </c>
      <c r="C223" s="2465"/>
      <c r="D223" s="2465"/>
      <c r="E223" s="2465"/>
      <c r="F223" s="2465"/>
      <c r="G223" s="2465"/>
      <c r="H223" s="848"/>
      <c r="I223" s="2451"/>
      <c r="J223" s="2451"/>
      <c r="K223" s="2451"/>
      <c r="L223" s="1003"/>
      <c r="N223" s="2506"/>
      <c r="O223" s="2506"/>
      <c r="P223" s="2506"/>
      <c r="Q223" s="2506"/>
      <c r="R223" s="2506"/>
      <c r="T223" s="2610"/>
      <c r="U223" s="2610"/>
      <c r="V223" s="2610"/>
      <c r="W223" s="2610"/>
      <c r="X223" s="2610"/>
      <c r="Y223" s="2610"/>
      <c r="Z223" s="847"/>
      <c r="AA223" s="847"/>
      <c r="AB223" s="2450">
        <f t="shared" ref="AB223:AB232" si="0">MAX(($T223-$N223)*$I223*12,0)</f>
        <v>0</v>
      </c>
      <c r="AC223" s="2450"/>
      <c r="AD223" s="2450"/>
      <c r="AE223" s="2450"/>
      <c r="AF223" s="2450"/>
      <c r="AG223" s="2450"/>
      <c r="AH223" s="823"/>
      <c r="AI223" s="823"/>
      <c r="AJ223" s="823"/>
      <c r="AK223" s="608"/>
    </row>
    <row r="224" spans="1:37" hidden="1">
      <c r="A224" s="603"/>
      <c r="B224" s="2465" t="s">
        <v>1183</v>
      </c>
      <c r="C224" s="2465"/>
      <c r="D224" s="2465"/>
      <c r="E224" s="2465"/>
      <c r="F224" s="2465"/>
      <c r="G224" s="2465"/>
      <c r="I224" s="2451"/>
      <c r="J224" s="2451"/>
      <c r="K224" s="2451"/>
      <c r="L224" s="1003"/>
      <c r="N224" s="2506"/>
      <c r="O224" s="2506"/>
      <c r="P224" s="2506"/>
      <c r="Q224" s="2506"/>
      <c r="R224" s="2506"/>
      <c r="T224" s="2610"/>
      <c r="U224" s="2610"/>
      <c r="V224" s="2610"/>
      <c r="W224" s="2610"/>
      <c r="X224" s="2610"/>
      <c r="Y224" s="2610"/>
      <c r="Z224" s="847"/>
      <c r="AA224" s="847"/>
      <c r="AB224" s="2450">
        <f t="shared" si="0"/>
        <v>0</v>
      </c>
      <c r="AC224" s="2450"/>
      <c r="AD224" s="2450"/>
      <c r="AE224" s="2450"/>
      <c r="AF224" s="2450"/>
      <c r="AG224" s="2450"/>
      <c r="AH224" s="823"/>
      <c r="AI224" s="823"/>
      <c r="AJ224" s="823"/>
      <c r="AK224" s="608"/>
    </row>
    <row r="225" spans="1:37" hidden="1">
      <c r="A225" s="603"/>
      <c r="B225" s="2465" t="s">
        <v>1183</v>
      </c>
      <c r="C225" s="2465"/>
      <c r="D225" s="2465"/>
      <c r="E225" s="2465"/>
      <c r="F225" s="2465"/>
      <c r="G225" s="2465"/>
      <c r="I225" s="2451"/>
      <c r="J225" s="2451"/>
      <c r="K225" s="2451"/>
      <c r="L225" s="1003"/>
      <c r="N225" s="2506"/>
      <c r="O225" s="2506"/>
      <c r="P225" s="2506"/>
      <c r="Q225" s="2506"/>
      <c r="R225" s="2506"/>
      <c r="T225" s="2610"/>
      <c r="U225" s="2610"/>
      <c r="V225" s="2610"/>
      <c r="W225" s="2610"/>
      <c r="X225" s="2610"/>
      <c r="Y225" s="2610"/>
      <c r="Z225" s="847"/>
      <c r="AA225" s="847"/>
      <c r="AB225" s="2450">
        <f t="shared" si="0"/>
        <v>0</v>
      </c>
      <c r="AC225" s="2450"/>
      <c r="AD225" s="2450"/>
      <c r="AE225" s="2450"/>
      <c r="AF225" s="2450"/>
      <c r="AG225" s="2450"/>
      <c r="AH225" s="823"/>
      <c r="AI225" s="823"/>
      <c r="AJ225" s="823"/>
      <c r="AK225" s="608"/>
    </row>
    <row r="226" spans="1:37" hidden="1">
      <c r="A226" s="603"/>
      <c r="B226" s="2465" t="s">
        <v>1183</v>
      </c>
      <c r="C226" s="2465"/>
      <c r="D226" s="2465"/>
      <c r="E226" s="2465"/>
      <c r="F226" s="2465"/>
      <c r="G226" s="2465"/>
      <c r="I226" s="2451"/>
      <c r="J226" s="2451"/>
      <c r="K226" s="2451"/>
      <c r="L226" s="1003"/>
      <c r="N226" s="2506"/>
      <c r="O226" s="2506"/>
      <c r="P226" s="2506"/>
      <c r="Q226" s="2506"/>
      <c r="R226" s="2506"/>
      <c r="T226" s="2610"/>
      <c r="U226" s="2610"/>
      <c r="V226" s="2610"/>
      <c r="W226" s="2610"/>
      <c r="X226" s="2610"/>
      <c r="Y226" s="2610"/>
      <c r="Z226" s="847"/>
      <c r="AA226" s="847"/>
      <c r="AB226" s="2450">
        <f t="shared" si="0"/>
        <v>0</v>
      </c>
      <c r="AC226" s="2450"/>
      <c r="AD226" s="2450"/>
      <c r="AE226" s="2450"/>
      <c r="AF226" s="2450"/>
      <c r="AG226" s="2450"/>
      <c r="AH226" s="823"/>
      <c r="AI226" s="823"/>
      <c r="AJ226" s="823"/>
      <c r="AK226" s="608"/>
    </row>
    <row r="227" spans="1:37" hidden="1">
      <c r="A227" s="603"/>
      <c r="B227" s="2465" t="s">
        <v>1183</v>
      </c>
      <c r="C227" s="2465"/>
      <c r="D227" s="2465"/>
      <c r="E227" s="2465"/>
      <c r="F227" s="2465"/>
      <c r="G227" s="2465"/>
      <c r="I227" s="2451"/>
      <c r="J227" s="2451"/>
      <c r="K227" s="2451"/>
      <c r="L227" s="1010"/>
      <c r="N227" s="2506"/>
      <c r="O227" s="2506"/>
      <c r="P227" s="2506"/>
      <c r="Q227" s="2506"/>
      <c r="R227" s="2506"/>
      <c r="T227" s="2610"/>
      <c r="U227" s="2610"/>
      <c r="V227" s="2610"/>
      <c r="W227" s="2610"/>
      <c r="X227" s="2610"/>
      <c r="Y227" s="2610"/>
      <c r="Z227" s="847"/>
      <c r="AA227" s="847"/>
      <c r="AB227" s="2450">
        <f t="shared" si="0"/>
        <v>0</v>
      </c>
      <c r="AC227" s="2450"/>
      <c r="AD227" s="2450"/>
      <c r="AE227" s="2450"/>
      <c r="AF227" s="2450"/>
      <c r="AG227" s="2450"/>
      <c r="AH227" s="823"/>
      <c r="AI227" s="823"/>
      <c r="AJ227" s="823"/>
      <c r="AK227" s="608"/>
    </row>
    <row r="228" spans="1:37" hidden="1">
      <c r="A228" s="603"/>
      <c r="B228" s="2465" t="s">
        <v>1183</v>
      </c>
      <c r="C228" s="2465"/>
      <c r="D228" s="2465"/>
      <c r="E228" s="2465"/>
      <c r="F228" s="2465"/>
      <c r="G228" s="2465"/>
      <c r="I228" s="2451"/>
      <c r="J228" s="2451"/>
      <c r="K228" s="2451"/>
      <c r="L228" s="1010"/>
      <c r="N228" s="2506"/>
      <c r="O228" s="2506"/>
      <c r="P228" s="2506"/>
      <c r="Q228" s="2506"/>
      <c r="R228" s="2506"/>
      <c r="T228" s="2610"/>
      <c r="U228" s="2610"/>
      <c r="V228" s="2610"/>
      <c r="W228" s="2610"/>
      <c r="X228" s="2610"/>
      <c r="Y228" s="2610"/>
      <c r="Z228" s="847"/>
      <c r="AA228" s="847"/>
      <c r="AB228" s="2450">
        <f t="shared" si="0"/>
        <v>0</v>
      </c>
      <c r="AC228" s="2450"/>
      <c r="AD228" s="2450"/>
      <c r="AE228" s="2450"/>
      <c r="AF228" s="2450"/>
      <c r="AG228" s="2450"/>
      <c r="AH228" s="823"/>
      <c r="AI228" s="823"/>
      <c r="AJ228" s="823"/>
      <c r="AK228" s="608"/>
    </row>
    <row r="229" spans="1:37" hidden="1">
      <c r="A229" s="603"/>
      <c r="B229" s="2465" t="s">
        <v>1183</v>
      </c>
      <c r="C229" s="2465"/>
      <c r="D229" s="2465"/>
      <c r="E229" s="2465"/>
      <c r="F229" s="2465"/>
      <c r="G229" s="2465"/>
      <c r="I229" s="2451"/>
      <c r="J229" s="2451"/>
      <c r="K229" s="2451"/>
      <c r="L229" s="1010"/>
      <c r="N229" s="2506"/>
      <c r="O229" s="2506"/>
      <c r="P229" s="2506"/>
      <c r="Q229" s="2506"/>
      <c r="R229" s="2506"/>
      <c r="T229" s="2610"/>
      <c r="U229" s="2610"/>
      <c r="V229" s="2610"/>
      <c r="W229" s="2610"/>
      <c r="X229" s="2610"/>
      <c r="Y229" s="2610"/>
      <c r="Z229" s="847"/>
      <c r="AA229" s="847"/>
      <c r="AB229" s="2450">
        <f t="shared" si="0"/>
        <v>0</v>
      </c>
      <c r="AC229" s="2450"/>
      <c r="AD229" s="2450"/>
      <c r="AE229" s="2450"/>
      <c r="AF229" s="2450"/>
      <c r="AG229" s="2450"/>
      <c r="AH229" s="823"/>
      <c r="AI229" s="823"/>
      <c r="AJ229" s="823"/>
      <c r="AK229" s="608"/>
    </row>
    <row r="230" spans="1:37" hidden="1">
      <c r="A230" s="603"/>
      <c r="B230" s="2465" t="s">
        <v>1183</v>
      </c>
      <c r="C230" s="2465"/>
      <c r="D230" s="2465"/>
      <c r="E230" s="2465"/>
      <c r="F230" s="2465"/>
      <c r="G230" s="2465"/>
      <c r="I230" s="2451"/>
      <c r="J230" s="2451"/>
      <c r="K230" s="2451"/>
      <c r="L230" s="1010"/>
      <c r="N230" s="2506"/>
      <c r="O230" s="2506"/>
      <c r="P230" s="2506"/>
      <c r="Q230" s="2506"/>
      <c r="R230" s="2506"/>
      <c r="T230" s="2610"/>
      <c r="U230" s="2610"/>
      <c r="V230" s="2610"/>
      <c r="W230" s="2610"/>
      <c r="X230" s="2610"/>
      <c r="Y230" s="2610"/>
      <c r="Z230" s="847"/>
      <c r="AA230" s="847"/>
      <c r="AB230" s="2450">
        <f t="shared" si="0"/>
        <v>0</v>
      </c>
      <c r="AC230" s="2450"/>
      <c r="AD230" s="2450"/>
      <c r="AE230" s="2450"/>
      <c r="AF230" s="2450"/>
      <c r="AG230" s="2450"/>
      <c r="AH230" s="823"/>
      <c r="AI230" s="823"/>
      <c r="AJ230" s="823"/>
      <c r="AK230" s="608"/>
    </row>
    <row r="231" spans="1:37" hidden="1">
      <c r="A231" s="603"/>
      <c r="B231" s="2465" t="s">
        <v>1183</v>
      </c>
      <c r="C231" s="2465"/>
      <c r="D231" s="2465"/>
      <c r="E231" s="2465"/>
      <c r="F231" s="2465"/>
      <c r="G231" s="2465"/>
      <c r="I231" s="2451"/>
      <c r="J231" s="2451"/>
      <c r="K231" s="2451"/>
      <c r="L231" s="1010"/>
      <c r="N231" s="2506"/>
      <c r="O231" s="2506"/>
      <c r="P231" s="2506"/>
      <c r="Q231" s="2506"/>
      <c r="R231" s="2506"/>
      <c r="T231" s="2610"/>
      <c r="U231" s="2610"/>
      <c r="V231" s="2610"/>
      <c r="W231" s="2610"/>
      <c r="X231" s="2610"/>
      <c r="Y231" s="2610"/>
      <c r="Z231" s="847"/>
      <c r="AA231" s="847"/>
      <c r="AB231" s="2450">
        <f t="shared" si="0"/>
        <v>0</v>
      </c>
      <c r="AC231" s="2450"/>
      <c r="AD231" s="2450"/>
      <c r="AE231" s="2450"/>
      <c r="AF231" s="2450"/>
      <c r="AG231" s="2450"/>
      <c r="AH231" s="823"/>
      <c r="AI231" s="823"/>
      <c r="AJ231" s="823"/>
      <c r="AK231" s="608"/>
    </row>
    <row r="232" spans="1:37" hidden="1">
      <c r="A232" s="603"/>
      <c r="B232" s="2465" t="s">
        <v>1183</v>
      </c>
      <c r="C232" s="2465"/>
      <c r="D232" s="2465"/>
      <c r="E232" s="2465"/>
      <c r="F232" s="2465"/>
      <c r="G232" s="2465"/>
      <c r="I232" s="2452"/>
      <c r="J232" s="2452"/>
      <c r="K232" s="2452"/>
      <c r="L232" s="1010"/>
      <c r="N232" s="2506"/>
      <c r="O232" s="2506"/>
      <c r="P232" s="2506"/>
      <c r="Q232" s="2506"/>
      <c r="R232" s="2506"/>
      <c r="T232" s="2610"/>
      <c r="U232" s="2610"/>
      <c r="V232" s="2610"/>
      <c r="W232" s="2610"/>
      <c r="X232" s="2610"/>
      <c r="Y232" s="2610"/>
      <c r="Z232" s="847"/>
      <c r="AA232" s="847"/>
      <c r="AB232" s="2619">
        <f t="shared" si="0"/>
        <v>0</v>
      </c>
      <c r="AC232" s="2619"/>
      <c r="AD232" s="2619"/>
      <c r="AE232" s="2619"/>
      <c r="AF232" s="2619"/>
      <c r="AG232" s="2619"/>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1594</v>
      </c>
      <c r="AA233" s="849"/>
      <c r="AB233" s="2450">
        <f>SUM(AB223:AB232)</f>
        <v>0</v>
      </c>
      <c r="AC233" s="2450"/>
      <c r="AD233" s="2450"/>
      <c r="AE233" s="2450"/>
      <c r="AF233" s="2450"/>
      <c r="AG233" s="2450"/>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1584</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1612</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1610</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1604</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20"/>
      <c r="AC239" s="2620"/>
      <c r="AD239" s="2620"/>
      <c r="AE239" s="2620"/>
      <c r="AF239" s="2620"/>
      <c r="AG239" s="2620"/>
      <c r="AH239" s="608"/>
      <c r="AI239" s="608"/>
      <c r="AJ239" s="608"/>
      <c r="AK239" s="608"/>
    </row>
    <row r="240" spans="1:37" hidden="1">
      <c r="A240" s="603"/>
      <c r="B240" s="833" t="s">
        <v>1609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1611</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1605</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20"/>
      <c r="AC242" s="2620"/>
      <c r="AD242" s="2620"/>
      <c r="AE242" s="2620"/>
      <c r="AF242" s="2620"/>
      <c r="AG242" s="2620"/>
      <c r="AH242" s="608"/>
      <c r="AI242" s="608"/>
      <c r="AJ242" s="608"/>
      <c r="AK242" s="608"/>
    </row>
    <row r="243" spans="1:37" hidden="1">
      <c r="A243" s="603"/>
      <c r="B243" s="834" t="s">
        <v>1606</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31"/>
      <c r="AC243" s="2631"/>
      <c r="AD243" s="2631"/>
      <c r="AE243" s="2631"/>
      <c r="AF243" s="2631"/>
      <c r="AG243" s="2631"/>
      <c r="AH243" s="608"/>
      <c r="AI243" s="608"/>
      <c r="AJ243" s="608"/>
      <c r="AK243" s="608"/>
    </row>
    <row r="244" spans="1:37" hidden="1">
      <c r="A244" s="603"/>
      <c r="B244" s="834" t="s">
        <v>1607</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44">
        <f>IFERROR(AB242/AB243,0)</f>
        <v>0</v>
      </c>
      <c r="AC244" s="2644"/>
      <c r="AD244" s="2644"/>
      <c r="AE244" s="2644"/>
      <c r="AF244" s="2644"/>
      <c r="AG244" s="2644"/>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1608</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19">
        <f>MAX(AB239,AB244)</f>
        <v>0</v>
      </c>
      <c r="AC246" s="2619"/>
      <c r="AD246" s="2619"/>
      <c r="AE246" s="2619"/>
      <c r="AF246" s="2619"/>
      <c r="AG246" s="2619"/>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1597</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50">
        <f>AB233+AB246</f>
        <v>0</v>
      </c>
      <c r="AC249" s="2450"/>
      <c r="AD249" s="2450"/>
      <c r="AE249" s="2450"/>
      <c r="AF249" s="2450"/>
      <c r="AG249" s="2450"/>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99">
        <v>0.05</v>
      </c>
      <c r="AC250" s="2499"/>
      <c r="AD250" s="2499"/>
      <c r="AE250" s="2499"/>
      <c r="AF250" s="2499"/>
      <c r="AG250" s="2499"/>
      <c r="AH250" s="608"/>
      <c r="AI250" s="608"/>
      <c r="AJ250" s="608"/>
      <c r="AK250" s="608"/>
    </row>
    <row r="251" spans="1:37" hidden="1">
      <c r="A251" s="603"/>
      <c r="B251" s="476" t="s">
        <v>1598</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00">
        <f>AB249-(AB249*AB250)</f>
        <v>0</v>
      </c>
      <c r="AC251" s="2500"/>
      <c r="AD251" s="2500"/>
      <c r="AE251" s="2500"/>
      <c r="AF251" s="2500"/>
      <c r="AG251" s="2500"/>
      <c r="AH251" s="608"/>
      <c r="AI251" s="608"/>
      <c r="AJ251" s="608"/>
      <c r="AK251" s="608"/>
    </row>
    <row r="252" spans="1:37" hidden="1">
      <c r="A252" s="603"/>
      <c r="B252" s="476" t="s">
        <v>1599</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1600</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50">
        <f>AB251/AB257</f>
        <v>0</v>
      </c>
      <c r="AC253" s="2450"/>
      <c r="AD253" s="2450"/>
      <c r="AE253" s="2450"/>
      <c r="AF253" s="2450"/>
      <c r="AG253" s="2450"/>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1601</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59">
        <v>15</v>
      </c>
      <c r="AC255" s="2459"/>
      <c r="AD255" s="2459"/>
      <c r="AE255" s="2459"/>
      <c r="AF255" s="2459"/>
      <c r="AG255" s="2459"/>
      <c r="AH255" s="608"/>
      <c r="AI255" s="608"/>
      <c r="AJ255" s="608"/>
      <c r="AK255" s="608"/>
    </row>
    <row r="256" spans="1:37" hidden="1">
      <c r="A256" s="603"/>
      <c r="B256" s="476" t="s">
        <v>1602</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01">
        <v>0.04</v>
      </c>
      <c r="AC256" s="2501"/>
      <c r="AD256" s="2501"/>
      <c r="AE256" s="2501"/>
      <c r="AF256" s="2501"/>
      <c r="AG256" s="2501"/>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08">
        <v>1.1499999999999999</v>
      </c>
      <c r="AC257" s="2508"/>
      <c r="AD257" s="2508"/>
      <c r="AE257" s="2508"/>
      <c r="AF257" s="2508"/>
      <c r="AG257" s="2508"/>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92">
        <f>PV(AB256/12,AB255*12,-AB253/12, ,0)</f>
        <v>0</v>
      </c>
      <c r="AC259" s="2493"/>
      <c r="AD259" s="2493"/>
      <c r="AE259" s="2493"/>
      <c r="AF259" s="2493"/>
      <c r="AG259" s="2494"/>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1579</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1582</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1581</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1580</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96">
        <f>IFERROR(('Sources and Uses Budget'!D105/'Sources and Uses Budget'!B105),0)</f>
        <v>0</v>
      </c>
      <c r="AC265" s="2497"/>
      <c r="AD265" s="2497"/>
      <c r="AE265" s="2497"/>
      <c r="AF265" s="2497"/>
      <c r="AG265" s="2498"/>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1365</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86">
        <f>AD210*(1-AB265)</f>
        <v>0</v>
      </c>
      <c r="AH267" s="2486"/>
      <c r="AI267" s="2486"/>
      <c r="AJ267" s="2486"/>
      <c r="AK267" s="2486"/>
    </row>
    <row r="268" spans="1:39" hidden="1">
      <c r="A268" s="620"/>
      <c r="B268" s="623" t="s">
        <v>1366</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86">
        <f>'Sources and Uses Budget'!C105</f>
        <v>62606754</v>
      </c>
      <c r="AH268" s="2486"/>
      <c r="AI268" s="2486"/>
      <c r="AJ268" s="2486"/>
      <c r="AK268" s="2486"/>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87">
        <f>ROUNDDOWN(IF(AND(C305="Yes",AK83=10),((AG267*2)/AG268),AG267/AG268),2)</f>
        <v>0</v>
      </c>
      <c r="AH269" s="2487"/>
      <c r="AI269" s="2487"/>
      <c r="AJ269" s="2487"/>
      <c r="AK269" s="2487"/>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1367</v>
      </c>
      <c r="AK272" s="2488">
        <f>IFERROR(IF(AG269=0,0,IF((AG269*100)&gt;8,8,(AG269*100))),0)</f>
        <v>0</v>
      </c>
      <c r="AL272" s="2488"/>
      <c r="AM272" s="2489"/>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1362</v>
      </c>
      <c r="B275" s="538" t="s">
        <v>1369</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1307</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2564</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80" t="s">
        <v>544</v>
      </c>
      <c r="D279" s="2480"/>
      <c r="E279" s="546"/>
      <c r="F279" s="2635" t="s">
        <v>2556</v>
      </c>
      <c r="G279" s="2636"/>
      <c r="H279" s="2636"/>
      <c r="I279" s="2636"/>
      <c r="J279" s="2636"/>
      <c r="K279" s="2636"/>
      <c r="L279" s="2636"/>
      <c r="M279" s="2636"/>
      <c r="N279" s="2636"/>
      <c r="O279" s="2636"/>
      <c r="P279" s="2636"/>
      <c r="Q279" s="2636"/>
      <c r="R279" s="2636"/>
      <c r="S279" s="2636"/>
      <c r="T279" s="2636"/>
      <c r="U279" s="2636"/>
      <c r="V279" s="2636"/>
      <c r="W279" s="2636"/>
      <c r="X279" s="2636"/>
      <c r="Y279" s="2636"/>
      <c r="Z279" s="2636"/>
      <c r="AA279" s="2636"/>
      <c r="AB279" s="2636"/>
      <c r="AC279" s="2636"/>
      <c r="AD279" s="2637"/>
      <c r="AE279" s="549"/>
      <c r="AF279" s="633"/>
      <c r="AG279" s="2481" t="s">
        <v>1356</v>
      </c>
      <c r="AH279" s="2481"/>
      <c r="AI279" s="2481"/>
      <c r="AJ279" s="2481"/>
      <c r="AK279" s="549"/>
      <c r="AL279" s="549"/>
      <c r="AM279" s="549"/>
      <c r="AO279" s="549"/>
    </row>
    <row r="280" spans="1:52" ht="13.7" customHeight="1">
      <c r="A280" s="549"/>
      <c r="B280" s="594"/>
      <c r="C280" s="634"/>
      <c r="D280" s="549"/>
      <c r="E280" s="546"/>
      <c r="F280" s="2638"/>
      <c r="G280" s="2639"/>
      <c r="H280" s="2639"/>
      <c r="I280" s="2639"/>
      <c r="J280" s="2639"/>
      <c r="K280" s="2639"/>
      <c r="L280" s="2639"/>
      <c r="M280" s="2639"/>
      <c r="N280" s="2639"/>
      <c r="O280" s="2639"/>
      <c r="P280" s="2639"/>
      <c r="Q280" s="2639"/>
      <c r="R280" s="2639"/>
      <c r="S280" s="2639"/>
      <c r="T280" s="2639"/>
      <c r="U280" s="2639"/>
      <c r="V280" s="2639"/>
      <c r="W280" s="2639"/>
      <c r="X280" s="2639"/>
      <c r="Y280" s="2639"/>
      <c r="Z280" s="2639"/>
      <c r="AA280" s="2639"/>
      <c r="AB280" s="2639"/>
      <c r="AC280" s="2639"/>
      <c r="AD280" s="2640"/>
      <c r="AE280" s="549"/>
      <c r="AF280" s="633"/>
      <c r="AG280" s="633"/>
      <c r="AH280" s="633"/>
      <c r="AI280" s="633"/>
      <c r="AJ280" s="549"/>
      <c r="AK280" s="549"/>
      <c r="AL280" s="549"/>
      <c r="AM280" s="549"/>
      <c r="AO280" s="549"/>
    </row>
    <row r="281" spans="1:52" ht="13.7" customHeight="1">
      <c r="A281" s="549"/>
      <c r="B281" s="594"/>
      <c r="C281" s="634"/>
      <c r="D281" s="549"/>
      <c r="E281" s="546"/>
      <c r="F281" s="2638"/>
      <c r="G281" s="2639"/>
      <c r="H281" s="2639"/>
      <c r="I281" s="2639"/>
      <c r="J281" s="2639"/>
      <c r="K281" s="2639"/>
      <c r="L281" s="2639"/>
      <c r="M281" s="2639"/>
      <c r="N281" s="2639"/>
      <c r="O281" s="2639"/>
      <c r="P281" s="2639"/>
      <c r="Q281" s="2639"/>
      <c r="R281" s="2639"/>
      <c r="S281" s="2639"/>
      <c r="T281" s="2639"/>
      <c r="U281" s="2639"/>
      <c r="V281" s="2639"/>
      <c r="W281" s="2639"/>
      <c r="X281" s="2639"/>
      <c r="Y281" s="2639"/>
      <c r="Z281" s="2639"/>
      <c r="AA281" s="2639"/>
      <c r="AB281" s="2639"/>
      <c r="AC281" s="2639"/>
      <c r="AD281" s="2640"/>
      <c r="AE281" s="549"/>
      <c r="AF281" s="633"/>
      <c r="AG281" s="633"/>
      <c r="AH281" s="633"/>
      <c r="AI281" s="633"/>
      <c r="AJ281" s="549"/>
      <c r="AK281" s="549"/>
      <c r="AL281" s="549"/>
      <c r="AM281" s="549"/>
      <c r="AO281" s="549"/>
    </row>
    <row r="282" spans="1:52" ht="13.7" customHeight="1">
      <c r="A282" s="549"/>
      <c r="B282" s="594"/>
      <c r="C282" s="634"/>
      <c r="D282" s="549"/>
      <c r="E282" s="546"/>
      <c r="F282" s="2638"/>
      <c r="G282" s="2639"/>
      <c r="H282" s="2639"/>
      <c r="I282" s="2639"/>
      <c r="J282" s="2639"/>
      <c r="K282" s="2639"/>
      <c r="L282" s="2639"/>
      <c r="M282" s="2639"/>
      <c r="N282" s="2639"/>
      <c r="O282" s="2639"/>
      <c r="P282" s="2639"/>
      <c r="Q282" s="2639"/>
      <c r="R282" s="2639"/>
      <c r="S282" s="2639"/>
      <c r="T282" s="2639"/>
      <c r="U282" s="2639"/>
      <c r="V282" s="2639"/>
      <c r="W282" s="2639"/>
      <c r="X282" s="2639"/>
      <c r="Y282" s="2639"/>
      <c r="Z282" s="2639"/>
      <c r="AA282" s="2639"/>
      <c r="AB282" s="2639"/>
      <c r="AC282" s="2639"/>
      <c r="AD282" s="2640"/>
      <c r="AE282" s="549"/>
      <c r="AF282" s="633"/>
      <c r="AG282" s="633"/>
      <c r="AH282" s="633"/>
      <c r="AI282" s="633"/>
      <c r="AJ282" s="549"/>
      <c r="AK282" s="549"/>
      <c r="AL282" s="549"/>
      <c r="AM282" s="549"/>
      <c r="AO282" s="549"/>
    </row>
    <row r="283" spans="1:52" ht="13.7" customHeight="1">
      <c r="A283" s="549"/>
      <c r="B283" s="594"/>
      <c r="C283" s="634"/>
      <c r="D283" s="549"/>
      <c r="E283" s="546"/>
      <c r="F283" s="2638"/>
      <c r="G283" s="2639"/>
      <c r="H283" s="2639"/>
      <c r="I283" s="2639"/>
      <c r="J283" s="2639"/>
      <c r="K283" s="2639"/>
      <c r="L283" s="2639"/>
      <c r="M283" s="2639"/>
      <c r="N283" s="2639"/>
      <c r="O283" s="2639"/>
      <c r="P283" s="2639"/>
      <c r="Q283" s="2639"/>
      <c r="R283" s="2639"/>
      <c r="S283" s="2639"/>
      <c r="T283" s="2639"/>
      <c r="U283" s="2639"/>
      <c r="V283" s="2639"/>
      <c r="W283" s="2639"/>
      <c r="X283" s="2639"/>
      <c r="Y283" s="2639"/>
      <c r="Z283" s="2639"/>
      <c r="AA283" s="2639"/>
      <c r="AB283" s="2639"/>
      <c r="AC283" s="2639"/>
      <c r="AD283" s="2640"/>
      <c r="AE283" s="549"/>
      <c r="AF283" s="633"/>
      <c r="AG283" s="633"/>
      <c r="AH283" s="633"/>
      <c r="AI283" s="633"/>
      <c r="AJ283" s="549"/>
      <c r="AK283" s="549"/>
      <c r="AL283" s="549"/>
      <c r="AM283" s="549"/>
      <c r="AO283" s="549"/>
    </row>
    <row r="284" spans="1:52">
      <c r="A284" s="549"/>
      <c r="B284" s="594"/>
      <c r="C284" s="634"/>
      <c r="D284" s="549"/>
      <c r="E284" s="546"/>
      <c r="F284" s="2638"/>
      <c r="G284" s="2639"/>
      <c r="H284" s="2639"/>
      <c r="I284" s="2639"/>
      <c r="J284" s="2639"/>
      <c r="K284" s="2639"/>
      <c r="L284" s="2639"/>
      <c r="M284" s="2639"/>
      <c r="N284" s="2639"/>
      <c r="O284" s="2639"/>
      <c r="P284" s="2639"/>
      <c r="Q284" s="2639"/>
      <c r="R284" s="2639"/>
      <c r="S284" s="2639"/>
      <c r="T284" s="2639"/>
      <c r="U284" s="2639"/>
      <c r="V284" s="2639"/>
      <c r="W284" s="2639"/>
      <c r="X284" s="2639"/>
      <c r="Y284" s="2639"/>
      <c r="Z284" s="2639"/>
      <c r="AA284" s="2639"/>
      <c r="AB284" s="2639"/>
      <c r="AC284" s="2639"/>
      <c r="AD284" s="2640"/>
      <c r="AE284" s="549"/>
      <c r="AF284" s="633"/>
      <c r="AG284" s="633"/>
      <c r="AH284" s="633"/>
      <c r="AI284" s="633"/>
      <c r="AJ284" s="549"/>
      <c r="AK284" s="549"/>
      <c r="AL284" s="549"/>
      <c r="AM284" s="549"/>
      <c r="AO284" s="549"/>
      <c r="AP284" s="635"/>
    </row>
    <row r="285" spans="1:52">
      <c r="A285" s="549"/>
      <c r="B285" s="594"/>
      <c r="C285" s="634"/>
      <c r="D285" s="549"/>
      <c r="E285" s="546"/>
      <c r="F285" s="2638"/>
      <c r="G285" s="2639"/>
      <c r="H285" s="2639"/>
      <c r="I285" s="2639"/>
      <c r="J285" s="2639"/>
      <c r="K285" s="2639"/>
      <c r="L285" s="2639"/>
      <c r="M285" s="2639"/>
      <c r="N285" s="2639"/>
      <c r="O285" s="2639"/>
      <c r="P285" s="2639"/>
      <c r="Q285" s="2639"/>
      <c r="R285" s="2639"/>
      <c r="S285" s="2639"/>
      <c r="T285" s="2639"/>
      <c r="U285" s="2639"/>
      <c r="V285" s="2639"/>
      <c r="W285" s="2639"/>
      <c r="X285" s="2639"/>
      <c r="Y285" s="2639"/>
      <c r="Z285" s="2639"/>
      <c r="AA285" s="2639"/>
      <c r="AB285" s="2639"/>
      <c r="AC285" s="2639"/>
      <c r="AD285" s="2640"/>
      <c r="AE285" s="549"/>
      <c r="AF285" s="633"/>
      <c r="AG285" s="633"/>
      <c r="AH285" s="633"/>
      <c r="AI285" s="633"/>
      <c r="AJ285" s="549"/>
      <c r="AK285" s="549"/>
      <c r="AL285" s="549"/>
      <c r="AM285" s="549"/>
      <c r="AO285" s="549"/>
      <c r="AP285" s="635"/>
    </row>
    <row r="286" spans="1:52" ht="13.7" customHeight="1">
      <c r="A286" s="549"/>
      <c r="B286" s="594"/>
      <c r="C286" s="2482"/>
      <c r="D286" s="2482"/>
      <c r="E286" s="546"/>
      <c r="F286" s="2641"/>
      <c r="G286" s="2642"/>
      <c r="H286" s="2642"/>
      <c r="I286" s="2642"/>
      <c r="J286" s="2642"/>
      <c r="K286" s="2642"/>
      <c r="L286" s="2642"/>
      <c r="M286" s="2642"/>
      <c r="N286" s="2642"/>
      <c r="O286" s="2642"/>
      <c r="P286" s="2642"/>
      <c r="Q286" s="2642"/>
      <c r="R286" s="2642"/>
      <c r="S286" s="2642"/>
      <c r="T286" s="2642"/>
      <c r="U286" s="2642"/>
      <c r="V286" s="2642"/>
      <c r="W286" s="2642"/>
      <c r="X286" s="2642"/>
      <c r="Y286" s="2642"/>
      <c r="Z286" s="2642"/>
      <c r="AA286" s="2642"/>
      <c r="AB286" s="2642"/>
      <c r="AC286" s="2642"/>
      <c r="AD286" s="2643"/>
      <c r="AE286" s="549"/>
      <c r="AF286" s="633"/>
      <c r="AG286" s="2481"/>
      <c r="AH286" s="2481"/>
      <c r="AI286" s="2481"/>
      <c r="AJ286" s="2481"/>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96" t="s">
        <v>2563</v>
      </c>
      <c r="C289" s="2396"/>
      <c r="D289" s="2396"/>
      <c r="E289" s="2396"/>
      <c r="F289" s="2396"/>
      <c r="G289" s="2396"/>
      <c r="H289" s="2396"/>
      <c r="I289" s="2396"/>
      <c r="J289" s="2396"/>
      <c r="K289" s="2396"/>
      <c r="L289" s="2396"/>
      <c r="M289" s="2396"/>
      <c r="N289" s="2396"/>
      <c r="O289" s="2396"/>
      <c r="P289" s="2396"/>
      <c r="Q289" s="2396"/>
      <c r="R289" s="2396"/>
      <c r="S289" s="2396"/>
      <c r="T289" s="2396"/>
      <c r="U289" s="2396"/>
      <c r="V289" s="2396"/>
      <c r="W289" s="2396"/>
      <c r="X289" s="2396"/>
      <c r="Y289" s="2396"/>
      <c r="Z289" s="2396"/>
      <c r="AA289" s="2396"/>
      <c r="AB289" s="2396"/>
      <c r="AC289" s="2396"/>
      <c r="AD289" s="2396"/>
      <c r="AE289" s="2396"/>
      <c r="AF289" s="2396"/>
      <c r="AG289" s="2396"/>
      <c r="AH289" s="2396"/>
      <c r="AI289" s="2396"/>
      <c r="AJ289" s="2396"/>
      <c r="AK289" s="2396"/>
      <c r="AL289" s="2396"/>
      <c r="AM289" s="549"/>
      <c r="AN289" s="73"/>
    </row>
    <row r="290" spans="1:49">
      <c r="A290" s="549"/>
      <c r="B290" s="2396"/>
      <c r="C290" s="2396"/>
      <c r="D290" s="2396"/>
      <c r="E290" s="2396"/>
      <c r="F290" s="2396"/>
      <c r="G290" s="2396"/>
      <c r="H290" s="2396"/>
      <c r="I290" s="2396"/>
      <c r="J290" s="2396"/>
      <c r="K290" s="2396"/>
      <c r="L290" s="2396"/>
      <c r="M290" s="2396"/>
      <c r="N290" s="2396"/>
      <c r="O290" s="2396"/>
      <c r="P290" s="2396"/>
      <c r="Q290" s="2396"/>
      <c r="R290" s="2396"/>
      <c r="S290" s="2396"/>
      <c r="T290" s="2396"/>
      <c r="U290" s="2396"/>
      <c r="V290" s="2396"/>
      <c r="W290" s="2396"/>
      <c r="X290" s="2396"/>
      <c r="Y290" s="2396"/>
      <c r="Z290" s="2396"/>
      <c r="AA290" s="2396"/>
      <c r="AB290" s="2396"/>
      <c r="AC290" s="2396"/>
      <c r="AD290" s="2396"/>
      <c r="AE290" s="2396"/>
      <c r="AF290" s="2396"/>
      <c r="AG290" s="2396"/>
      <c r="AH290" s="2396"/>
      <c r="AI290" s="2396"/>
      <c r="AJ290" s="2396"/>
      <c r="AK290" s="2396"/>
      <c r="AL290" s="2396"/>
      <c r="AM290" s="549"/>
      <c r="AN290" s="73"/>
    </row>
    <row r="291" spans="1:49">
      <c r="A291" s="549"/>
      <c r="B291" s="2396"/>
      <c r="C291" s="2396"/>
      <c r="D291" s="2396"/>
      <c r="E291" s="2396"/>
      <c r="F291" s="2396"/>
      <c r="G291" s="2396"/>
      <c r="H291" s="2396"/>
      <c r="I291" s="2396"/>
      <c r="J291" s="2396"/>
      <c r="K291" s="2396"/>
      <c r="L291" s="2396"/>
      <c r="M291" s="2396"/>
      <c r="N291" s="2396"/>
      <c r="O291" s="2396"/>
      <c r="P291" s="2396"/>
      <c r="Q291" s="2396"/>
      <c r="R291" s="2396"/>
      <c r="S291" s="2396"/>
      <c r="T291" s="2396"/>
      <c r="U291" s="2396"/>
      <c r="V291" s="2396"/>
      <c r="W291" s="2396"/>
      <c r="X291" s="2396"/>
      <c r="Y291" s="2396"/>
      <c r="Z291" s="2396"/>
      <c r="AA291" s="2396"/>
      <c r="AB291" s="2396"/>
      <c r="AC291" s="2396"/>
      <c r="AD291" s="2396"/>
      <c r="AE291" s="2396"/>
      <c r="AF291" s="2396"/>
      <c r="AG291" s="2396"/>
      <c r="AH291" s="2396"/>
      <c r="AI291" s="2396"/>
      <c r="AJ291" s="2396"/>
      <c r="AK291" s="2396"/>
      <c r="AL291" s="2396"/>
      <c r="AM291" s="549"/>
      <c r="AN291" s="73"/>
    </row>
    <row r="292" spans="1:49">
      <c r="A292" s="549"/>
      <c r="B292" s="2396"/>
      <c r="C292" s="2396"/>
      <c r="D292" s="2396"/>
      <c r="E292" s="2396"/>
      <c r="F292" s="2396"/>
      <c r="G292" s="2396"/>
      <c r="H292" s="2396"/>
      <c r="I292" s="2396"/>
      <c r="J292" s="2396"/>
      <c r="K292" s="2396"/>
      <c r="L292" s="2396"/>
      <c r="M292" s="2396"/>
      <c r="N292" s="2396"/>
      <c r="O292" s="2396"/>
      <c r="P292" s="2396"/>
      <c r="Q292" s="2396"/>
      <c r="R292" s="2396"/>
      <c r="S292" s="2396"/>
      <c r="T292" s="2396"/>
      <c r="U292" s="2396"/>
      <c r="V292" s="2396"/>
      <c r="W292" s="2396"/>
      <c r="X292" s="2396"/>
      <c r="Y292" s="2396"/>
      <c r="Z292" s="2396"/>
      <c r="AA292" s="2396"/>
      <c r="AB292" s="2396"/>
      <c r="AC292" s="2396"/>
      <c r="AD292" s="2396"/>
      <c r="AE292" s="2396"/>
      <c r="AF292" s="2396"/>
      <c r="AG292" s="2396"/>
      <c r="AH292" s="2396"/>
      <c r="AI292" s="2396"/>
      <c r="AJ292" s="2396"/>
      <c r="AK292" s="2396"/>
      <c r="AL292" s="2396"/>
      <c r="AM292" s="549"/>
      <c r="AN292" s="73"/>
    </row>
    <row r="293" spans="1:49">
      <c r="A293" s="549"/>
      <c r="B293" s="2396"/>
      <c r="C293" s="2396"/>
      <c r="D293" s="2396"/>
      <c r="E293" s="2396"/>
      <c r="F293" s="2396"/>
      <c r="G293" s="2396"/>
      <c r="H293" s="2396"/>
      <c r="I293" s="2396"/>
      <c r="J293" s="2396"/>
      <c r="K293" s="2396"/>
      <c r="L293" s="2396"/>
      <c r="M293" s="2396"/>
      <c r="N293" s="2396"/>
      <c r="O293" s="2396"/>
      <c r="P293" s="2396"/>
      <c r="Q293" s="2396"/>
      <c r="R293" s="2396"/>
      <c r="S293" s="2396"/>
      <c r="T293" s="2396"/>
      <c r="U293" s="2396"/>
      <c r="V293" s="2396"/>
      <c r="W293" s="2396"/>
      <c r="X293" s="2396"/>
      <c r="Y293" s="2396"/>
      <c r="Z293" s="2396"/>
      <c r="AA293" s="2396"/>
      <c r="AB293" s="2396"/>
      <c r="AC293" s="2396"/>
      <c r="AD293" s="2396"/>
      <c r="AE293" s="2396"/>
      <c r="AF293" s="2396"/>
      <c r="AG293" s="2396"/>
      <c r="AH293" s="2396"/>
      <c r="AI293" s="2396"/>
      <c r="AJ293" s="2396"/>
      <c r="AK293" s="2396"/>
      <c r="AL293" s="2396"/>
      <c r="AM293" s="549"/>
      <c r="AN293" s="73"/>
    </row>
    <row r="294" spans="1:49">
      <c r="A294" s="549"/>
      <c r="B294" s="2396"/>
      <c r="C294" s="2396"/>
      <c r="D294" s="2396"/>
      <c r="E294" s="2396"/>
      <c r="F294" s="2396"/>
      <c r="G294" s="2396"/>
      <c r="H294" s="2396"/>
      <c r="I294" s="2396"/>
      <c r="J294" s="2396"/>
      <c r="K294" s="2396"/>
      <c r="L294" s="2396"/>
      <c r="M294" s="2396"/>
      <c r="N294" s="2396"/>
      <c r="O294" s="2396"/>
      <c r="P294" s="2396"/>
      <c r="Q294" s="2396"/>
      <c r="R294" s="2396"/>
      <c r="S294" s="2396"/>
      <c r="T294" s="2396"/>
      <c r="U294" s="2396"/>
      <c r="V294" s="2396"/>
      <c r="W294" s="2396"/>
      <c r="X294" s="2396"/>
      <c r="Y294" s="2396"/>
      <c r="Z294" s="2396"/>
      <c r="AA294" s="2396"/>
      <c r="AB294" s="2396"/>
      <c r="AC294" s="2396"/>
      <c r="AD294" s="2396"/>
      <c r="AE294" s="2396"/>
      <c r="AF294" s="2396"/>
      <c r="AG294" s="2396"/>
      <c r="AH294" s="2396"/>
      <c r="AI294" s="2396"/>
      <c r="AJ294" s="2396"/>
      <c r="AK294" s="2396"/>
      <c r="AL294" s="2396"/>
      <c r="AM294" s="549"/>
      <c r="AN294" s="73"/>
    </row>
    <row r="295" spans="1:49">
      <c r="A295" s="549"/>
      <c r="B295" s="2396"/>
      <c r="C295" s="2396"/>
      <c r="D295" s="2396"/>
      <c r="E295" s="2396"/>
      <c r="F295" s="2396"/>
      <c r="G295" s="2396"/>
      <c r="H295" s="2396"/>
      <c r="I295" s="2396"/>
      <c r="J295" s="2396"/>
      <c r="K295" s="2396"/>
      <c r="L295" s="2396"/>
      <c r="M295" s="2396"/>
      <c r="N295" s="2396"/>
      <c r="O295" s="2396"/>
      <c r="P295" s="2396"/>
      <c r="Q295" s="2396"/>
      <c r="R295" s="2396"/>
      <c r="S295" s="2396"/>
      <c r="T295" s="2396"/>
      <c r="U295" s="2396"/>
      <c r="V295" s="2396"/>
      <c r="W295" s="2396"/>
      <c r="X295" s="2396"/>
      <c r="Y295" s="2396"/>
      <c r="Z295" s="2396"/>
      <c r="AA295" s="2396"/>
      <c r="AB295" s="2396"/>
      <c r="AC295" s="2396"/>
      <c r="AD295" s="2396"/>
      <c r="AE295" s="2396"/>
      <c r="AF295" s="2396"/>
      <c r="AG295" s="2396"/>
      <c r="AH295" s="2396"/>
      <c r="AI295" s="2396"/>
      <c r="AJ295" s="2396"/>
      <c r="AK295" s="2396"/>
      <c r="AL295" s="2396"/>
      <c r="AM295" s="549"/>
      <c r="AN295" s="73"/>
    </row>
    <row r="296" spans="1:49">
      <c r="A296" s="549"/>
      <c r="B296" s="2396"/>
      <c r="C296" s="2396"/>
      <c r="D296" s="2396"/>
      <c r="E296" s="2396"/>
      <c r="F296" s="2396"/>
      <c r="G296" s="2396"/>
      <c r="H296" s="2396"/>
      <c r="I296" s="2396"/>
      <c r="J296" s="2396"/>
      <c r="K296" s="2396"/>
      <c r="L296" s="2396"/>
      <c r="M296" s="2396"/>
      <c r="N296" s="2396"/>
      <c r="O296" s="2396"/>
      <c r="P296" s="2396"/>
      <c r="Q296" s="2396"/>
      <c r="R296" s="2396"/>
      <c r="S296" s="2396"/>
      <c r="T296" s="2396"/>
      <c r="U296" s="2396"/>
      <c r="V296" s="2396"/>
      <c r="W296" s="2396"/>
      <c r="X296" s="2396"/>
      <c r="Y296" s="2396"/>
      <c r="Z296" s="2396"/>
      <c r="AA296" s="2396"/>
      <c r="AB296" s="2396"/>
      <c r="AC296" s="2396"/>
      <c r="AD296" s="2396"/>
      <c r="AE296" s="2396"/>
      <c r="AF296" s="2396"/>
      <c r="AG296" s="2396"/>
      <c r="AH296" s="2396"/>
      <c r="AI296" s="2396"/>
      <c r="AJ296" s="2396"/>
      <c r="AK296" s="2396"/>
      <c r="AL296" s="2396"/>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1371</v>
      </c>
      <c r="AK298" s="2488">
        <f>IF($C$279="yes",10,0)</f>
        <v>10</v>
      </c>
      <c r="AL298" s="2488"/>
      <c r="AM298" s="2489"/>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1368</v>
      </c>
      <c r="B301" s="538" t="s">
        <v>2557</v>
      </c>
      <c r="AH301" s="589" t="s">
        <v>1307</v>
      </c>
    </row>
    <row r="302" spans="1:49" ht="15" customHeight="1">
      <c r="B302" s="539"/>
    </row>
    <row r="303" spans="1:49" ht="15" customHeight="1">
      <c r="B303" s="539" t="s">
        <v>1716</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91" t="s">
        <v>1373</v>
      </c>
      <c r="B305" s="1591"/>
      <c r="C305" s="2470" t="s">
        <v>590</v>
      </c>
      <c r="D305" s="2480"/>
      <c r="E305" s="546"/>
      <c r="F305" s="2502" t="s">
        <v>1374</v>
      </c>
      <c r="G305" s="2503"/>
      <c r="H305" s="2503"/>
      <c r="I305" s="2503"/>
      <c r="J305" s="2503"/>
      <c r="K305" s="2503"/>
      <c r="L305" s="2503"/>
      <c r="M305" s="2503"/>
      <c r="N305" s="2503"/>
      <c r="O305" s="2503"/>
      <c r="P305" s="2503"/>
      <c r="Q305" s="2503"/>
      <c r="R305" s="2503"/>
      <c r="S305" s="2503"/>
      <c r="T305" s="2503"/>
      <c r="U305" s="2503"/>
      <c r="V305" s="2503"/>
      <c r="W305" s="2503"/>
      <c r="X305" s="2503"/>
      <c r="Y305" s="2503"/>
      <c r="Z305" s="2503"/>
      <c r="AA305" s="2503"/>
      <c r="AB305" s="2503"/>
      <c r="AC305" s="2503"/>
      <c r="AD305" s="2504"/>
      <c r="AE305" s="640"/>
      <c r="AF305" s="549"/>
      <c r="AG305" s="2505" t="s">
        <v>1980</v>
      </c>
      <c r="AH305" s="2505"/>
      <c r="AI305" s="2505"/>
      <c r="AJ305" s="2505"/>
      <c r="AK305" s="2505"/>
      <c r="AL305" s="549"/>
      <c r="AM305" s="549"/>
      <c r="AN305" s="73"/>
      <c r="AO305" s="14"/>
      <c r="AP305" s="30"/>
      <c r="AS305" s="568"/>
      <c r="AT305" s="568"/>
      <c r="AU305" s="568"/>
      <c r="AV305" s="32"/>
      <c r="AW305" s="32"/>
    </row>
    <row r="306" spans="1:49">
      <c r="A306" s="638"/>
      <c r="B306" s="594"/>
      <c r="F306" s="2474"/>
      <c r="G306" s="2475"/>
      <c r="H306" s="2475"/>
      <c r="I306" s="2475"/>
      <c r="J306" s="2475"/>
      <c r="K306" s="2475"/>
      <c r="L306" s="2475"/>
      <c r="M306" s="2475"/>
      <c r="N306" s="2475"/>
      <c r="O306" s="2475"/>
      <c r="P306" s="2475"/>
      <c r="Q306" s="2475"/>
      <c r="R306" s="2475"/>
      <c r="S306" s="2475"/>
      <c r="T306" s="2475"/>
      <c r="U306" s="2475"/>
      <c r="V306" s="2475"/>
      <c r="W306" s="2475"/>
      <c r="X306" s="2475"/>
      <c r="Y306" s="2475"/>
      <c r="Z306" s="2475"/>
      <c r="AA306" s="2475"/>
      <c r="AB306" s="2475"/>
      <c r="AC306" s="2475"/>
      <c r="AD306" s="2476"/>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74"/>
      <c r="G307" s="2475"/>
      <c r="H307" s="2475"/>
      <c r="I307" s="2475"/>
      <c r="J307" s="2475"/>
      <c r="K307" s="2475"/>
      <c r="L307" s="2475"/>
      <c r="M307" s="2475"/>
      <c r="N307" s="2475"/>
      <c r="O307" s="2475"/>
      <c r="P307" s="2475"/>
      <c r="Q307" s="2475"/>
      <c r="R307" s="2475"/>
      <c r="S307" s="2475"/>
      <c r="T307" s="2475"/>
      <c r="U307" s="2475"/>
      <c r="V307" s="2475"/>
      <c r="W307" s="2475"/>
      <c r="X307" s="2475"/>
      <c r="Y307" s="2475"/>
      <c r="Z307" s="2475"/>
      <c r="AA307" s="2475"/>
      <c r="AB307" s="2475"/>
      <c r="AC307" s="2475"/>
      <c r="AD307" s="2476"/>
      <c r="AE307" s="640"/>
      <c r="AF307" s="550"/>
      <c r="AH307" s="550"/>
      <c r="AI307" s="550"/>
      <c r="AJ307" s="549"/>
      <c r="AK307" s="549"/>
      <c r="AL307" s="549"/>
      <c r="AM307" s="549"/>
      <c r="AN307" s="73"/>
      <c r="AO307" s="14"/>
      <c r="AP307" s="549">
        <f>IF($C$315="yes",9,0)</f>
        <v>9</v>
      </c>
      <c r="AS307" s="568"/>
      <c r="AT307" s="568"/>
      <c r="AU307" s="568"/>
      <c r="AV307" s="32"/>
      <c r="AW307" s="32"/>
    </row>
    <row r="308" spans="1:49" ht="12.75" customHeight="1">
      <c r="A308" s="638"/>
      <c r="B308" s="594"/>
      <c r="F308" s="2474" t="s">
        <v>1985</v>
      </c>
      <c r="G308" s="2475"/>
      <c r="H308" s="2475"/>
      <c r="I308" s="2475"/>
      <c r="J308" s="2475"/>
      <c r="K308" s="2475"/>
      <c r="L308" s="2475"/>
      <c r="M308" s="2475"/>
      <c r="N308" s="2475"/>
      <c r="O308" s="2475"/>
      <c r="P308" s="2475"/>
      <c r="Q308" s="2475"/>
      <c r="R308" s="2475"/>
      <c r="S308" s="2475"/>
      <c r="T308" s="2475"/>
      <c r="U308" s="2475"/>
      <c r="V308" s="2475"/>
      <c r="W308" s="2475"/>
      <c r="X308" s="2475"/>
      <c r="Y308" s="2475"/>
      <c r="Z308" s="2475"/>
      <c r="AA308" s="2475"/>
      <c r="AB308" s="2475"/>
      <c r="AC308" s="2475"/>
      <c r="AD308" s="2476"/>
      <c r="AE308" s="640"/>
      <c r="AF308" s="550"/>
      <c r="AH308" s="550"/>
      <c r="AI308" s="550"/>
      <c r="AJ308" s="549"/>
      <c r="AK308" s="549"/>
      <c r="AL308" s="549"/>
      <c r="AM308" s="549"/>
      <c r="AN308" s="73"/>
      <c r="AO308" s="14"/>
      <c r="AP308" s="609">
        <f>MAX(AP306,AP307)</f>
        <v>9</v>
      </c>
      <c r="AQ308" s="572" t="s">
        <v>1309</v>
      </c>
      <c r="AS308" s="568"/>
      <c r="AT308" s="568"/>
      <c r="AU308" s="568"/>
      <c r="AV308" s="32"/>
      <c r="AW308" s="32"/>
    </row>
    <row r="309" spans="1:49">
      <c r="A309" s="638"/>
      <c r="B309" s="594"/>
      <c r="F309" s="2474"/>
      <c r="G309" s="2475"/>
      <c r="H309" s="2475"/>
      <c r="I309" s="2475"/>
      <c r="J309" s="2475"/>
      <c r="K309" s="2475"/>
      <c r="L309" s="2475"/>
      <c r="M309" s="2475"/>
      <c r="N309" s="2475"/>
      <c r="O309" s="2475"/>
      <c r="P309" s="2475"/>
      <c r="Q309" s="2475"/>
      <c r="R309" s="2475"/>
      <c r="S309" s="2475"/>
      <c r="T309" s="2475"/>
      <c r="U309" s="2475"/>
      <c r="V309" s="2475"/>
      <c r="W309" s="2475"/>
      <c r="X309" s="2475"/>
      <c r="Y309" s="2475"/>
      <c r="Z309" s="2475"/>
      <c r="AA309" s="2475"/>
      <c r="AB309" s="2475"/>
      <c r="AC309" s="2475"/>
      <c r="AD309" s="2476"/>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74" t="s">
        <v>1375</v>
      </c>
      <c r="G310" s="2475"/>
      <c r="H310" s="2475"/>
      <c r="I310" s="2475"/>
      <c r="J310" s="2475"/>
      <c r="K310" s="2475"/>
      <c r="L310" s="2475"/>
      <c r="M310" s="2475"/>
      <c r="N310" s="2475"/>
      <c r="O310" s="2475"/>
      <c r="P310" s="2475"/>
      <c r="Q310" s="2475"/>
      <c r="R310" s="2475"/>
      <c r="S310" s="2475"/>
      <c r="T310" s="2475"/>
      <c r="U310" s="2475"/>
      <c r="V310" s="2475"/>
      <c r="W310" s="2475"/>
      <c r="X310" s="2475"/>
      <c r="Y310" s="2475"/>
      <c r="Z310" s="2475"/>
      <c r="AA310" s="2475"/>
      <c r="AB310" s="2475"/>
      <c r="AC310" s="2475"/>
      <c r="AD310" s="2476"/>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74"/>
      <c r="G311" s="2475"/>
      <c r="H311" s="2475"/>
      <c r="I311" s="2475"/>
      <c r="J311" s="2475"/>
      <c r="K311" s="2475"/>
      <c r="L311" s="2475"/>
      <c r="M311" s="2475"/>
      <c r="N311" s="2475"/>
      <c r="O311" s="2475"/>
      <c r="P311" s="2475"/>
      <c r="Q311" s="2475"/>
      <c r="R311" s="2475"/>
      <c r="S311" s="2475"/>
      <c r="T311" s="2475"/>
      <c r="U311" s="2475"/>
      <c r="V311" s="2475"/>
      <c r="W311" s="2475"/>
      <c r="X311" s="2475"/>
      <c r="Y311" s="2475"/>
      <c r="Z311" s="2475"/>
      <c r="AA311" s="2475"/>
      <c r="AB311" s="2475"/>
      <c r="AC311" s="2475"/>
      <c r="AD311" s="2476"/>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74" t="s">
        <v>1376</v>
      </c>
      <c r="G312" s="2475"/>
      <c r="H312" s="2475"/>
      <c r="I312" s="2475"/>
      <c r="J312" s="2475"/>
      <c r="K312" s="2475"/>
      <c r="L312" s="2475"/>
      <c r="M312" s="2475"/>
      <c r="N312" s="2475"/>
      <c r="O312" s="2475"/>
      <c r="P312" s="2475"/>
      <c r="Q312" s="2475"/>
      <c r="R312" s="2475"/>
      <c r="S312" s="2475"/>
      <c r="T312" s="2475"/>
      <c r="U312" s="2475"/>
      <c r="V312" s="2475"/>
      <c r="W312" s="2475"/>
      <c r="X312" s="2475"/>
      <c r="Y312" s="2475"/>
      <c r="Z312" s="2475"/>
      <c r="AA312" s="2475"/>
      <c r="AB312" s="2475"/>
      <c r="AC312" s="2475"/>
      <c r="AD312" s="2476"/>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77"/>
      <c r="G313" s="2478"/>
      <c r="H313" s="2478"/>
      <c r="I313" s="2478"/>
      <c r="J313" s="2478"/>
      <c r="K313" s="2478"/>
      <c r="L313" s="2478"/>
      <c r="M313" s="2478"/>
      <c r="N313" s="2478"/>
      <c r="O313" s="2478"/>
      <c r="P313" s="2478"/>
      <c r="Q313" s="2478"/>
      <c r="R313" s="2478"/>
      <c r="S313" s="2478"/>
      <c r="T313" s="2478"/>
      <c r="U313" s="2478"/>
      <c r="V313" s="2478"/>
      <c r="W313" s="2478"/>
      <c r="X313" s="2478"/>
      <c r="Y313" s="2478"/>
      <c r="Z313" s="2478"/>
      <c r="AA313" s="2478"/>
      <c r="AB313" s="2478"/>
      <c r="AC313" s="2478"/>
      <c r="AD313" s="2479"/>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91" t="s">
        <v>1377</v>
      </c>
      <c r="B315" s="1591"/>
      <c r="C315" s="2480" t="s">
        <v>544</v>
      </c>
      <c r="D315" s="2480"/>
      <c r="E315" s="546"/>
      <c r="F315" s="967" t="s">
        <v>2558</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1379</v>
      </c>
      <c r="AH315" s="550"/>
      <c r="AI315" s="550"/>
      <c r="AJ315" s="549"/>
      <c r="AK315" s="549"/>
      <c r="AL315" s="549"/>
      <c r="AM315" s="549"/>
      <c r="AN315" s="643"/>
      <c r="AO315" s="14"/>
    </row>
    <row r="316" spans="1:49">
      <c r="A316" s="549"/>
      <c r="B316" s="550"/>
      <c r="C316" s="549"/>
      <c r="D316" s="550"/>
      <c r="E316" s="549"/>
      <c r="F316" s="2474" t="s">
        <v>1981</v>
      </c>
      <c r="G316" s="2475"/>
      <c r="H316" s="2475"/>
      <c r="I316" s="2475"/>
      <c r="J316" s="2475"/>
      <c r="K316" s="2475"/>
      <c r="L316" s="2475"/>
      <c r="M316" s="2475"/>
      <c r="N316" s="2475"/>
      <c r="O316" s="2475"/>
      <c r="P316" s="2475"/>
      <c r="Q316" s="2475"/>
      <c r="R316" s="2475"/>
      <c r="S316" s="2475"/>
      <c r="T316" s="2475"/>
      <c r="U316" s="2475"/>
      <c r="V316" s="2475"/>
      <c r="W316" s="2475"/>
      <c r="X316" s="2475"/>
      <c r="Y316" s="2475"/>
      <c r="Z316" s="2475"/>
      <c r="AA316" s="2475"/>
      <c r="AB316" s="2475"/>
      <c r="AC316" s="2475"/>
      <c r="AD316" s="2476"/>
      <c r="AE316" s="550"/>
      <c r="AF316" s="550"/>
      <c r="AG316" s="550"/>
      <c r="AH316" s="550"/>
      <c r="AI316" s="550"/>
      <c r="AJ316" s="549"/>
      <c r="AK316" s="549"/>
      <c r="AL316" s="549"/>
      <c r="AM316" s="549"/>
      <c r="AR316" s="644"/>
    </row>
    <row r="317" spans="1:49" ht="15" customHeight="1">
      <c r="A317" s="549"/>
      <c r="B317" s="550"/>
      <c r="C317" s="549"/>
      <c r="D317" s="550"/>
      <c r="E317" s="549"/>
      <c r="F317" s="2474"/>
      <c r="G317" s="2475"/>
      <c r="H317" s="2475"/>
      <c r="I317" s="2475"/>
      <c r="J317" s="2475"/>
      <c r="K317" s="2475"/>
      <c r="L317" s="2475"/>
      <c r="M317" s="2475"/>
      <c r="N317" s="2475"/>
      <c r="O317" s="2475"/>
      <c r="P317" s="2475"/>
      <c r="Q317" s="2475"/>
      <c r="R317" s="2475"/>
      <c r="S317" s="2475"/>
      <c r="T317" s="2475"/>
      <c r="U317" s="2475"/>
      <c r="V317" s="2475"/>
      <c r="W317" s="2475"/>
      <c r="X317" s="2475"/>
      <c r="Y317" s="2475"/>
      <c r="Z317" s="2475"/>
      <c r="AA317" s="2475"/>
      <c r="AB317" s="2475"/>
      <c r="AC317" s="2475"/>
      <c r="AD317" s="2476"/>
      <c r="AE317" s="550"/>
      <c r="AF317" s="550"/>
      <c r="AG317" s="550"/>
      <c r="AH317" s="550"/>
      <c r="AI317" s="550"/>
      <c r="AJ317" s="549"/>
      <c r="AK317" s="549"/>
      <c r="AL317" s="549"/>
      <c r="AM317" s="549"/>
      <c r="AR317" s="644"/>
    </row>
    <row r="318" spans="1:49">
      <c r="A318" s="549"/>
      <c r="B318" s="550"/>
      <c r="C318" s="549"/>
      <c r="D318" s="550"/>
      <c r="E318" s="549"/>
      <c r="F318" s="2474"/>
      <c r="G318" s="2475"/>
      <c r="H318" s="2475"/>
      <c r="I318" s="2475"/>
      <c r="J318" s="2475"/>
      <c r="K318" s="2475"/>
      <c r="L318" s="2475"/>
      <c r="M318" s="2475"/>
      <c r="N318" s="2475"/>
      <c r="O318" s="2475"/>
      <c r="P318" s="2475"/>
      <c r="Q318" s="2475"/>
      <c r="R318" s="2475"/>
      <c r="S318" s="2475"/>
      <c r="T318" s="2475"/>
      <c r="U318" s="2475"/>
      <c r="V318" s="2475"/>
      <c r="W318" s="2475"/>
      <c r="X318" s="2475"/>
      <c r="Y318" s="2475"/>
      <c r="Z318" s="2475"/>
      <c r="AA318" s="2475"/>
      <c r="AB318" s="2475"/>
      <c r="AC318" s="2475"/>
      <c r="AD318" s="2476"/>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77"/>
      <c r="G319" s="2478"/>
      <c r="H319" s="2478"/>
      <c r="I319" s="2478"/>
      <c r="J319" s="2478"/>
      <c r="K319" s="2478"/>
      <c r="L319" s="2478"/>
      <c r="M319" s="2478"/>
      <c r="N319" s="2478"/>
      <c r="O319" s="2478"/>
      <c r="P319" s="2478"/>
      <c r="Q319" s="2478"/>
      <c r="R319" s="2478"/>
      <c r="S319" s="2478"/>
      <c r="T319" s="2478"/>
      <c r="U319" s="2478"/>
      <c r="V319" s="2478"/>
      <c r="W319" s="2478"/>
      <c r="X319" s="2478"/>
      <c r="Y319" s="2478"/>
      <c r="Z319" s="2478"/>
      <c r="AA319" s="2478"/>
      <c r="AB319" s="2478"/>
      <c r="AC319" s="2478"/>
      <c r="AD319" s="2479"/>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91" t="s">
        <v>1380</v>
      </c>
      <c r="B323" s="1591"/>
      <c r="C323" s="2480" t="s">
        <v>590</v>
      </c>
      <c r="D323" s="2480"/>
      <c r="E323" s="546"/>
      <c r="F323" s="642" t="s">
        <v>1378</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1379</v>
      </c>
      <c r="AH323" s="550"/>
      <c r="AI323" s="550"/>
      <c r="AJ323" s="549"/>
      <c r="AK323" s="549"/>
      <c r="AL323" s="549"/>
      <c r="AM323" s="549"/>
      <c r="AN323" s="73"/>
      <c r="AO323" s="14"/>
    </row>
    <row r="324" spans="1:44" hidden="1">
      <c r="A324" s="89"/>
      <c r="B324" s="89"/>
      <c r="C324" s="726"/>
      <c r="D324" s="726"/>
      <c r="E324" s="546"/>
      <c r="F324" s="2474" t="s">
        <v>1986</v>
      </c>
      <c r="G324" s="2475"/>
      <c r="H324" s="2475"/>
      <c r="I324" s="2475"/>
      <c r="J324" s="2475"/>
      <c r="K324" s="2475"/>
      <c r="L324" s="2475"/>
      <c r="M324" s="2475"/>
      <c r="N324" s="2475"/>
      <c r="O324" s="2475"/>
      <c r="P324" s="2475"/>
      <c r="Q324" s="2475"/>
      <c r="R324" s="2475"/>
      <c r="S324" s="2475"/>
      <c r="T324" s="2475"/>
      <c r="U324" s="2475"/>
      <c r="V324" s="2475"/>
      <c r="W324" s="2475"/>
      <c r="X324" s="2475"/>
      <c r="Y324" s="2475"/>
      <c r="Z324" s="2475"/>
      <c r="AA324" s="2475"/>
      <c r="AB324" s="2475"/>
      <c r="AC324" s="2475"/>
      <c r="AD324" s="2476"/>
      <c r="AE324" s="550"/>
      <c r="AF324" s="550"/>
      <c r="AG324" s="539"/>
      <c r="AH324" s="550"/>
      <c r="AI324" s="550"/>
      <c r="AJ324" s="549"/>
      <c r="AK324" s="549"/>
      <c r="AL324" s="549"/>
      <c r="AM324" s="549"/>
      <c r="AN324" s="73"/>
      <c r="AO324" s="14"/>
      <c r="AP324" s="555" t="s">
        <v>1183</v>
      </c>
    </row>
    <row r="325" spans="1:44" hidden="1">
      <c r="F325" s="2474"/>
      <c r="G325" s="2475"/>
      <c r="H325" s="2475"/>
      <c r="I325" s="2475"/>
      <c r="J325" s="2475"/>
      <c r="K325" s="2475"/>
      <c r="L325" s="2475"/>
      <c r="M325" s="2475"/>
      <c r="N325" s="2475"/>
      <c r="O325" s="2475"/>
      <c r="P325" s="2475"/>
      <c r="Q325" s="2475"/>
      <c r="R325" s="2475"/>
      <c r="S325" s="2475"/>
      <c r="T325" s="2475"/>
      <c r="U325" s="2475"/>
      <c r="V325" s="2475"/>
      <c r="W325" s="2475"/>
      <c r="X325" s="2475"/>
      <c r="Y325" s="2475"/>
      <c r="Z325" s="2475"/>
      <c r="AA325" s="2475"/>
      <c r="AB325" s="2475"/>
      <c r="AC325" s="2475"/>
      <c r="AD325" s="2476"/>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1381</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09" t="s">
        <v>1183</v>
      </c>
      <c r="G329" s="2510"/>
      <c r="H329" s="2510"/>
      <c r="I329" s="2510"/>
      <c r="J329" s="2510"/>
      <c r="K329" s="2510"/>
      <c r="L329" s="2510"/>
      <c r="M329" s="2510"/>
      <c r="N329" s="2510"/>
      <c r="O329" s="2510"/>
      <c r="P329" s="2510"/>
      <c r="Q329" s="2510"/>
      <c r="R329" s="2510"/>
      <c r="S329" s="2510"/>
      <c r="T329" s="2510"/>
      <c r="U329" s="2510"/>
      <c r="V329" s="2510"/>
      <c r="W329" s="2510"/>
      <c r="X329" s="2510"/>
      <c r="Y329" s="2510"/>
      <c r="Z329" s="2510"/>
      <c r="AA329" s="2510"/>
      <c r="AB329" s="2510"/>
      <c r="AC329" s="2510"/>
      <c r="AD329" s="2511"/>
      <c r="AE329" s="640"/>
      <c r="AF329" s="640"/>
      <c r="AG329" s="640"/>
      <c r="AH329" s="640"/>
      <c r="AI329" s="640"/>
      <c r="AJ329" s="640"/>
      <c r="AK329" s="640"/>
      <c r="AL329" s="549"/>
      <c r="AM329" s="549"/>
      <c r="AN329" s="73"/>
      <c r="AO329" s="14"/>
      <c r="AP329" s="30"/>
    </row>
    <row r="330" spans="1:44" hidden="1">
      <c r="A330" s="549"/>
      <c r="B330" s="550"/>
      <c r="C330" s="726"/>
      <c r="D330" s="726"/>
      <c r="E330" s="546"/>
      <c r="F330" s="2509"/>
      <c r="G330" s="2510"/>
      <c r="H330" s="2510"/>
      <c r="I330" s="2510"/>
      <c r="J330" s="2510"/>
      <c r="K330" s="2510"/>
      <c r="L330" s="2510"/>
      <c r="M330" s="2510"/>
      <c r="N330" s="2510"/>
      <c r="O330" s="2510"/>
      <c r="P330" s="2510"/>
      <c r="Q330" s="2510"/>
      <c r="R330" s="2510"/>
      <c r="S330" s="2510"/>
      <c r="T330" s="2510"/>
      <c r="U330" s="2510"/>
      <c r="V330" s="2510"/>
      <c r="W330" s="2510"/>
      <c r="X330" s="2510"/>
      <c r="Y330" s="2510"/>
      <c r="Z330" s="2510"/>
      <c r="AA330" s="2510"/>
      <c r="AB330" s="2510"/>
      <c r="AC330" s="2510"/>
      <c r="AD330" s="2511"/>
      <c r="AE330" s="550"/>
      <c r="AF330" s="550"/>
      <c r="AG330" s="539"/>
      <c r="AH330" s="550"/>
      <c r="AI330" s="550"/>
      <c r="AJ330" s="549"/>
      <c r="AK330" s="549"/>
      <c r="AL330" s="549"/>
      <c r="AM330" s="549"/>
      <c r="AN330" s="73"/>
      <c r="AO330" s="14"/>
      <c r="AP330" s="30"/>
    </row>
    <row r="331" spans="1:44" hidden="1">
      <c r="A331" s="549"/>
      <c r="B331" s="550"/>
      <c r="C331" s="726"/>
      <c r="D331" s="726"/>
      <c r="E331" s="546"/>
      <c r="F331" s="2509"/>
      <c r="G331" s="2510"/>
      <c r="H331" s="2510"/>
      <c r="I331" s="2510"/>
      <c r="J331" s="2510"/>
      <c r="K331" s="2510"/>
      <c r="L331" s="2510"/>
      <c r="M331" s="2510"/>
      <c r="N331" s="2510"/>
      <c r="O331" s="2510"/>
      <c r="P331" s="2510"/>
      <c r="Q331" s="2510"/>
      <c r="R331" s="2510"/>
      <c r="S331" s="2510"/>
      <c r="T331" s="2510"/>
      <c r="U331" s="2510"/>
      <c r="V331" s="2510"/>
      <c r="W331" s="2510"/>
      <c r="X331" s="2510"/>
      <c r="Y331" s="2510"/>
      <c r="Z331" s="2510"/>
      <c r="AA331" s="2510"/>
      <c r="AB331" s="2510"/>
      <c r="AC331" s="2510"/>
      <c r="AD331" s="2511"/>
      <c r="AE331" s="550"/>
      <c r="AF331" s="550"/>
      <c r="AG331" s="539"/>
      <c r="AH331" s="550"/>
      <c r="AI331" s="550"/>
      <c r="AJ331" s="549"/>
      <c r="AK331" s="549"/>
      <c r="AL331" s="549"/>
      <c r="AM331" s="549"/>
      <c r="AN331" s="73"/>
      <c r="AO331" s="14"/>
      <c r="AP331" s="30"/>
    </row>
    <row r="332" spans="1:44" hidden="1">
      <c r="A332" s="549"/>
      <c r="B332" s="550"/>
      <c r="C332" s="726"/>
      <c r="D332" s="726"/>
      <c r="E332" s="546"/>
      <c r="F332" s="2509"/>
      <c r="G332" s="2510"/>
      <c r="H332" s="2510"/>
      <c r="I332" s="2510"/>
      <c r="J332" s="2510"/>
      <c r="K332" s="2510"/>
      <c r="L332" s="2510"/>
      <c r="M332" s="2510"/>
      <c r="N332" s="2510"/>
      <c r="O332" s="2510"/>
      <c r="P332" s="2510"/>
      <c r="Q332" s="2510"/>
      <c r="R332" s="2510"/>
      <c r="S332" s="2510"/>
      <c r="T332" s="2510"/>
      <c r="U332" s="2510"/>
      <c r="V332" s="2510"/>
      <c r="W332" s="2510"/>
      <c r="X332" s="2510"/>
      <c r="Y332" s="2510"/>
      <c r="Z332" s="2510"/>
      <c r="AA332" s="2510"/>
      <c r="AB332" s="2510"/>
      <c r="AC332" s="2510"/>
      <c r="AD332" s="2511"/>
      <c r="AE332" s="550"/>
      <c r="AF332" s="550"/>
      <c r="AG332" s="539"/>
      <c r="AH332" s="550"/>
      <c r="AI332" s="550"/>
      <c r="AJ332" s="549"/>
      <c r="AK332" s="549"/>
      <c r="AL332" s="549"/>
      <c r="AM332" s="549"/>
      <c r="AN332" s="73"/>
      <c r="AO332" s="14"/>
      <c r="AP332" s="30"/>
    </row>
    <row r="333" spans="1:44" hidden="1">
      <c r="A333" s="549"/>
      <c r="B333" s="550"/>
      <c r="C333" s="726"/>
      <c r="D333" s="726"/>
      <c r="E333" s="546"/>
      <c r="F333" s="2512"/>
      <c r="G333" s="2513"/>
      <c r="H333" s="2513"/>
      <c r="I333" s="2513"/>
      <c r="J333" s="2513"/>
      <c r="K333" s="2513"/>
      <c r="L333" s="2513"/>
      <c r="M333" s="2513"/>
      <c r="N333" s="2513"/>
      <c r="O333" s="2513"/>
      <c r="P333" s="2513"/>
      <c r="Q333" s="2513"/>
      <c r="R333" s="2513"/>
      <c r="S333" s="2513"/>
      <c r="T333" s="2513"/>
      <c r="U333" s="2513"/>
      <c r="V333" s="2513"/>
      <c r="W333" s="2513"/>
      <c r="X333" s="2513"/>
      <c r="Y333" s="2513"/>
      <c r="Z333" s="2513"/>
      <c r="AA333" s="2513"/>
      <c r="AB333" s="2513"/>
      <c r="AC333" s="2513"/>
      <c r="AD333" s="2514"/>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1183</v>
      </c>
    </row>
    <row r="337" spans="1:42" ht="12.75" hidden="1" customHeight="1">
      <c r="A337" s="549"/>
      <c r="B337" s="550"/>
      <c r="C337" s="726"/>
      <c r="D337" s="726"/>
      <c r="E337" s="546"/>
      <c r="F337" s="652"/>
      <c r="G337" s="573" t="s">
        <v>686</v>
      </c>
      <c r="H337" s="573"/>
      <c r="I337" s="2515" t="s">
        <v>1183</v>
      </c>
      <c r="J337" s="2515"/>
      <c r="K337" s="2515"/>
      <c r="L337" s="2515"/>
      <c r="M337" s="2515"/>
      <c r="N337" s="2515"/>
      <c r="O337" s="2515"/>
      <c r="P337" s="2515"/>
      <c r="Q337" s="2515"/>
      <c r="R337" s="2515"/>
      <c r="S337" s="2515"/>
      <c r="T337" s="2515"/>
      <c r="U337" s="2515"/>
      <c r="V337" s="2515"/>
      <c r="W337" s="2515"/>
      <c r="X337" s="2515"/>
      <c r="Y337" s="2515"/>
      <c r="Z337" s="2515"/>
      <c r="AA337" s="2515"/>
      <c r="AB337" s="2515"/>
      <c r="AC337" s="2515"/>
      <c r="AD337" s="2516"/>
      <c r="AE337" s="550"/>
      <c r="AF337" s="550"/>
      <c r="AG337" s="539"/>
      <c r="AH337" s="550"/>
      <c r="AI337" s="550"/>
      <c r="AJ337" s="549"/>
      <c r="AK337" s="549"/>
      <c r="AL337" s="549"/>
      <c r="AM337" s="549"/>
      <c r="AN337" s="73"/>
      <c r="AO337" s="14"/>
      <c r="AP337" s="555" t="s">
        <v>1625</v>
      </c>
    </row>
    <row r="338" spans="1:42" hidden="1">
      <c r="A338" s="549"/>
      <c r="B338" s="550"/>
      <c r="C338" s="726"/>
      <c r="D338" s="726"/>
      <c r="E338" s="546"/>
      <c r="F338" s="652"/>
      <c r="G338" s="573"/>
      <c r="H338" s="573"/>
      <c r="I338" s="2515"/>
      <c r="J338" s="2515"/>
      <c r="K338" s="2515"/>
      <c r="L338" s="2515"/>
      <c r="M338" s="2515"/>
      <c r="N338" s="2515"/>
      <c r="O338" s="2515"/>
      <c r="P338" s="2515"/>
      <c r="Q338" s="2515"/>
      <c r="R338" s="2515"/>
      <c r="S338" s="2515"/>
      <c r="T338" s="2515"/>
      <c r="U338" s="2515"/>
      <c r="V338" s="2515"/>
      <c r="W338" s="2515"/>
      <c r="X338" s="2515"/>
      <c r="Y338" s="2515"/>
      <c r="Z338" s="2515"/>
      <c r="AA338" s="2515"/>
      <c r="AB338" s="2515"/>
      <c r="AC338" s="2515"/>
      <c r="AD338" s="2516"/>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15"/>
      <c r="J339" s="2515"/>
      <c r="K339" s="2515"/>
      <c r="L339" s="2515"/>
      <c r="M339" s="2515"/>
      <c r="N339" s="2515"/>
      <c r="O339" s="2515"/>
      <c r="P339" s="2515"/>
      <c r="Q339" s="2515"/>
      <c r="R339" s="2515"/>
      <c r="S339" s="2515"/>
      <c r="T339" s="2515"/>
      <c r="U339" s="2515"/>
      <c r="V339" s="2515"/>
      <c r="W339" s="2515"/>
      <c r="X339" s="2515"/>
      <c r="Y339" s="2515"/>
      <c r="Z339" s="2515"/>
      <c r="AA339" s="2515"/>
      <c r="AB339" s="2515"/>
      <c r="AC339" s="2515"/>
      <c r="AD339" s="2516"/>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17"/>
      <c r="J340" s="2517"/>
      <c r="K340" s="2517"/>
      <c r="L340" s="2517"/>
      <c r="M340" s="2517"/>
      <c r="N340" s="2517"/>
      <c r="O340" s="2517"/>
      <c r="P340" s="2517"/>
      <c r="Q340" s="2517"/>
      <c r="R340" s="2517"/>
      <c r="S340" s="2517"/>
      <c r="T340" s="2517"/>
      <c r="U340" s="2517"/>
      <c r="V340" s="2517"/>
      <c r="W340" s="2517"/>
      <c r="X340" s="2517"/>
      <c r="Y340" s="2517"/>
      <c r="Z340" s="2517"/>
      <c r="AA340" s="2517"/>
      <c r="AB340" s="2517"/>
      <c r="AC340" s="2517"/>
      <c r="AD340" s="2518"/>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15" t="s">
        <v>1183</v>
      </c>
      <c r="J342" s="2515"/>
      <c r="K342" s="2515"/>
      <c r="L342" s="2515"/>
      <c r="M342" s="2515"/>
      <c r="N342" s="2515"/>
      <c r="O342" s="2515"/>
      <c r="P342" s="2515"/>
      <c r="Q342" s="2515"/>
      <c r="R342" s="2515"/>
      <c r="S342" s="2515"/>
      <c r="T342" s="2515"/>
      <c r="U342" s="2515"/>
      <c r="V342" s="2515"/>
      <c r="W342" s="2515"/>
      <c r="X342" s="2515"/>
      <c r="Y342" s="2515"/>
      <c r="Z342" s="2515"/>
      <c r="AA342" s="2515"/>
      <c r="AB342" s="2515"/>
      <c r="AC342" s="2515"/>
      <c r="AD342" s="2516"/>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15"/>
      <c r="J343" s="2515"/>
      <c r="K343" s="2515"/>
      <c r="L343" s="2515"/>
      <c r="M343" s="2515"/>
      <c r="N343" s="2515"/>
      <c r="O343" s="2515"/>
      <c r="P343" s="2515"/>
      <c r="Q343" s="2515"/>
      <c r="R343" s="2515"/>
      <c r="S343" s="2515"/>
      <c r="T343" s="2515"/>
      <c r="U343" s="2515"/>
      <c r="V343" s="2515"/>
      <c r="W343" s="2515"/>
      <c r="X343" s="2515"/>
      <c r="Y343" s="2515"/>
      <c r="Z343" s="2515"/>
      <c r="AA343" s="2515"/>
      <c r="AB343" s="2515"/>
      <c r="AC343" s="2515"/>
      <c r="AD343" s="2516"/>
      <c r="AE343" s="550"/>
      <c r="AF343" s="550"/>
      <c r="AG343" s="539"/>
      <c r="AH343" s="550"/>
      <c r="AI343" s="550"/>
      <c r="AJ343" s="549"/>
      <c r="AK343" s="549"/>
      <c r="AL343" s="549"/>
      <c r="AM343" s="549"/>
      <c r="AN343" s="73"/>
      <c r="AO343" s="14"/>
      <c r="AP343" s="555" t="s">
        <v>1183</v>
      </c>
    </row>
    <row r="344" spans="1:42" hidden="1">
      <c r="A344" s="549"/>
      <c r="B344" s="550"/>
      <c r="C344" s="647"/>
      <c r="D344" s="647"/>
      <c r="E344" s="546"/>
      <c r="F344" s="653"/>
      <c r="G344" s="654"/>
      <c r="H344" s="654"/>
      <c r="I344" s="2517"/>
      <c r="J344" s="2517"/>
      <c r="K344" s="2517"/>
      <c r="L344" s="2517"/>
      <c r="M344" s="2517"/>
      <c r="N344" s="2517"/>
      <c r="O344" s="2517"/>
      <c r="P344" s="2517"/>
      <c r="Q344" s="2517"/>
      <c r="R344" s="2517"/>
      <c r="S344" s="2517"/>
      <c r="T344" s="2517"/>
      <c r="U344" s="2517"/>
      <c r="V344" s="2517"/>
      <c r="W344" s="2517"/>
      <c r="X344" s="2517"/>
      <c r="Y344" s="2517"/>
      <c r="Z344" s="2517"/>
      <c r="AA344" s="2517"/>
      <c r="AB344" s="2517"/>
      <c r="AC344" s="2517"/>
      <c r="AD344" s="2518"/>
      <c r="AE344" s="550"/>
      <c r="AF344" s="550"/>
      <c r="AG344" s="539"/>
      <c r="AH344" s="550"/>
      <c r="AI344" s="550"/>
      <c r="AJ344" s="549"/>
      <c r="AK344" s="549"/>
      <c r="AL344" s="549"/>
      <c r="AM344" s="549"/>
      <c r="AN344" s="73"/>
      <c r="AO344" s="14"/>
      <c r="AP344" s="555" t="s">
        <v>1382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1626</v>
      </c>
    </row>
    <row r="346" spans="1:42" ht="12.75" hidden="1" customHeight="1">
      <c r="A346" s="1591" t="s">
        <v>1383</v>
      </c>
      <c r="B346" s="1591"/>
      <c r="C346" s="2480" t="s">
        <v>590</v>
      </c>
      <c r="D346" s="2480"/>
      <c r="E346" s="546"/>
      <c r="F346" s="2413" t="s">
        <v>1987</v>
      </c>
      <c r="G346" s="2414"/>
      <c r="H346" s="2414"/>
      <c r="I346" s="2414"/>
      <c r="J346" s="2414"/>
      <c r="K346" s="2414"/>
      <c r="L346" s="2414"/>
      <c r="M346" s="2414"/>
      <c r="N346" s="2414"/>
      <c r="O346" s="2414"/>
      <c r="P346" s="2414"/>
      <c r="Q346" s="2414"/>
      <c r="R346" s="2414"/>
      <c r="S346" s="2414"/>
      <c r="T346" s="2414"/>
      <c r="U346" s="2414"/>
      <c r="V346" s="2414"/>
      <c r="W346" s="2414"/>
      <c r="X346" s="2414"/>
      <c r="Y346" s="2414"/>
      <c r="Z346" s="2414"/>
      <c r="AA346" s="2414"/>
      <c r="AB346" s="2414"/>
      <c r="AC346" s="2414"/>
      <c r="AD346" s="2415"/>
      <c r="AE346" s="550"/>
      <c r="AF346" s="550"/>
      <c r="AG346" s="539" t="s">
        <v>1379</v>
      </c>
      <c r="AH346" s="550"/>
      <c r="AI346" s="550"/>
      <c r="AJ346" s="549"/>
      <c r="AK346" s="549"/>
      <c r="AL346" s="549"/>
      <c r="AM346" s="549"/>
      <c r="AN346" s="73"/>
      <c r="AO346" s="14"/>
    </row>
    <row r="347" spans="1:42" ht="15" hidden="1" customHeight="1">
      <c r="A347" s="549"/>
      <c r="B347" s="550"/>
      <c r="C347" s="550"/>
      <c r="D347" s="550"/>
      <c r="E347" s="550"/>
      <c r="F347" s="2442"/>
      <c r="G347" s="2443"/>
      <c r="H347" s="2443"/>
      <c r="I347" s="2443"/>
      <c r="J347" s="2443"/>
      <c r="K347" s="2443"/>
      <c r="L347" s="2443"/>
      <c r="M347" s="2443"/>
      <c r="N347" s="2443"/>
      <c r="O347" s="2443"/>
      <c r="P347" s="2443"/>
      <c r="Q347" s="2443"/>
      <c r="R347" s="2443"/>
      <c r="S347" s="2443"/>
      <c r="T347" s="2443"/>
      <c r="U347" s="2443"/>
      <c r="V347" s="2443"/>
      <c r="W347" s="2443"/>
      <c r="X347" s="2443"/>
      <c r="Y347" s="2443"/>
      <c r="Z347" s="2443"/>
      <c r="AA347" s="2443"/>
      <c r="AB347" s="2443"/>
      <c r="AC347" s="2443"/>
      <c r="AD347" s="2444"/>
      <c r="AE347" s="550"/>
      <c r="AF347" s="550"/>
      <c r="AG347" s="550"/>
      <c r="AH347" s="550"/>
      <c r="AI347" s="550"/>
      <c r="AJ347" s="549"/>
      <c r="AK347" s="549"/>
      <c r="AL347" s="549"/>
      <c r="AM347" s="549"/>
      <c r="AN347" s="73"/>
      <c r="AO347" s="14"/>
    </row>
    <row r="348" spans="1:42" ht="15" hidden="1" customHeight="1">
      <c r="A348" s="549"/>
      <c r="B348" s="550"/>
      <c r="C348" s="550"/>
      <c r="D348" s="550"/>
      <c r="E348" s="550"/>
      <c r="F348" s="2442"/>
      <c r="G348" s="2443"/>
      <c r="H348" s="2443"/>
      <c r="I348" s="2443"/>
      <c r="J348" s="2443"/>
      <c r="K348" s="2443"/>
      <c r="L348" s="2443"/>
      <c r="M348" s="2443"/>
      <c r="N348" s="2443"/>
      <c r="O348" s="2443"/>
      <c r="P348" s="2443"/>
      <c r="Q348" s="2443"/>
      <c r="R348" s="2443"/>
      <c r="S348" s="2443"/>
      <c r="T348" s="2443"/>
      <c r="U348" s="2443"/>
      <c r="V348" s="2443"/>
      <c r="W348" s="2443"/>
      <c r="X348" s="2443"/>
      <c r="Y348" s="2443"/>
      <c r="Z348" s="2443"/>
      <c r="AA348" s="2443"/>
      <c r="AB348" s="2443"/>
      <c r="AC348" s="2443"/>
      <c r="AD348" s="2444"/>
      <c r="AE348" s="550"/>
      <c r="AF348" s="550"/>
      <c r="AG348" s="550"/>
      <c r="AH348" s="550"/>
      <c r="AI348" s="550"/>
      <c r="AJ348" s="549"/>
      <c r="AK348" s="549"/>
      <c r="AL348" s="549"/>
      <c r="AM348" s="655"/>
      <c r="AN348" s="14"/>
      <c r="AO348" s="14"/>
    </row>
    <row r="349" spans="1:42" hidden="1">
      <c r="A349" s="549"/>
      <c r="B349" s="550"/>
      <c r="C349" s="549"/>
      <c r="D349" s="550"/>
      <c r="E349" s="549"/>
      <c r="F349" s="656" t="s">
        <v>1384</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2590</v>
      </c>
      <c r="AK351" s="2483">
        <f>IF(NOT(OR(Application!M364="Yes",Application!M365="Yes")),0,AP308)</f>
        <v>9</v>
      </c>
      <c r="AL351" s="2484"/>
      <c r="AM351" s="2485"/>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1372</v>
      </c>
      <c r="B354" s="539" t="s">
        <v>844</v>
      </c>
      <c r="C354" s="536"/>
      <c r="AC354" s="539"/>
      <c r="AE354" s="2425" t="s">
        <v>1307</v>
      </c>
      <c r="AF354" s="2425"/>
      <c r="AG354" s="2425"/>
      <c r="AH354" s="2425"/>
      <c r="AI354" s="2425"/>
      <c r="AJ354" s="2425"/>
      <c r="AK354" s="2425"/>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19" t="s">
        <v>1444</v>
      </c>
      <c r="D356" s="2519"/>
      <c r="E356" s="2519"/>
      <c r="F356" s="2519"/>
      <c r="G356" s="2519"/>
      <c r="H356" s="2519"/>
      <c r="I356" s="2519"/>
      <c r="J356" s="2519"/>
      <c r="K356" s="2519"/>
      <c r="L356" s="2519"/>
      <c r="M356" s="2519"/>
      <c r="N356" s="2519"/>
      <c r="O356" s="2519"/>
      <c r="P356" s="2519"/>
      <c r="Q356" s="2519"/>
      <c r="R356" s="2519"/>
      <c r="S356" s="2519"/>
      <c r="T356" s="2519"/>
      <c r="U356" s="2519"/>
      <c r="V356" s="2519"/>
      <c r="W356" s="2519"/>
      <c r="X356" s="2519"/>
      <c r="Y356" s="2519"/>
      <c r="Z356" s="2519"/>
      <c r="AA356" s="2519"/>
      <c r="AB356" s="2519"/>
      <c r="AC356" s="2519"/>
      <c r="AD356" s="2519"/>
      <c r="AE356" s="2519"/>
      <c r="AF356" s="2519"/>
      <c r="AG356" s="2519"/>
      <c r="AH356" s="2519"/>
      <c r="AI356" s="2519"/>
      <c r="AJ356" s="2519"/>
      <c r="AK356" s="601"/>
      <c r="AL356" s="601"/>
      <c r="AM356" s="601"/>
      <c r="AN356" s="595"/>
    </row>
    <row r="357" spans="1:44" s="549" customFormat="1" ht="12.75" customHeight="1">
      <c r="A357" s="601"/>
      <c r="B357" s="609"/>
      <c r="C357" s="2519"/>
      <c r="D357" s="2519"/>
      <c r="E357" s="2519"/>
      <c r="F357" s="2519"/>
      <c r="G357" s="2519"/>
      <c r="H357" s="2519"/>
      <c r="I357" s="2519"/>
      <c r="J357" s="2519"/>
      <c r="K357" s="2519"/>
      <c r="L357" s="2519"/>
      <c r="M357" s="2519"/>
      <c r="N357" s="2519"/>
      <c r="O357" s="2519"/>
      <c r="P357" s="2519"/>
      <c r="Q357" s="2519"/>
      <c r="R357" s="2519"/>
      <c r="S357" s="2519"/>
      <c r="T357" s="2519"/>
      <c r="U357" s="2519"/>
      <c r="V357" s="2519"/>
      <c r="W357" s="2519"/>
      <c r="X357" s="2519"/>
      <c r="Y357" s="2519"/>
      <c r="Z357" s="2519"/>
      <c r="AA357" s="2519"/>
      <c r="AB357" s="2519"/>
      <c r="AC357" s="2519"/>
      <c r="AD357" s="2519"/>
      <c r="AE357" s="2519"/>
      <c r="AF357" s="2519"/>
      <c r="AG357" s="2519"/>
      <c r="AH357" s="2519"/>
      <c r="AI357" s="2519"/>
      <c r="AJ357" s="2519"/>
      <c r="AK357" s="601"/>
      <c r="AL357" s="601"/>
      <c r="AM357" s="601"/>
      <c r="AN357" s="595"/>
    </row>
    <row r="358" spans="1:44" s="549" customFormat="1" ht="12.75" customHeight="1">
      <c r="A358" s="601"/>
      <c r="B358" s="609"/>
      <c r="C358" s="2519"/>
      <c r="D358" s="2519"/>
      <c r="E358" s="2519"/>
      <c r="F358" s="2519"/>
      <c r="G358" s="2519"/>
      <c r="H358" s="2519"/>
      <c r="I358" s="2519"/>
      <c r="J358" s="2519"/>
      <c r="K358" s="2519"/>
      <c r="L358" s="2519"/>
      <c r="M358" s="2519"/>
      <c r="N358" s="2519"/>
      <c r="O358" s="2519"/>
      <c r="P358" s="2519"/>
      <c r="Q358" s="2519"/>
      <c r="R358" s="2519"/>
      <c r="S358" s="2519"/>
      <c r="T358" s="2519"/>
      <c r="U358" s="2519"/>
      <c r="V358" s="2519"/>
      <c r="W358" s="2519"/>
      <c r="X358" s="2519"/>
      <c r="Y358" s="2519"/>
      <c r="Z358" s="2519"/>
      <c r="AA358" s="2519"/>
      <c r="AB358" s="2519"/>
      <c r="AC358" s="2519"/>
      <c r="AD358" s="2519"/>
      <c r="AE358" s="2519"/>
      <c r="AF358" s="2519"/>
      <c r="AG358" s="2519"/>
      <c r="AH358" s="2519"/>
      <c r="AI358" s="2519"/>
      <c r="AJ358" s="2519"/>
      <c r="AK358" s="601"/>
      <c r="AL358" s="601"/>
      <c r="AM358" s="601"/>
      <c r="AN358" s="595"/>
      <c r="AQ358" s="568"/>
    </row>
    <row r="359" spans="1:44" s="549" customFormat="1" ht="12.75" customHeight="1">
      <c r="A359" s="601"/>
      <c r="B359" s="609"/>
      <c r="C359" s="2519"/>
      <c r="D359" s="2519"/>
      <c r="E359" s="2519"/>
      <c r="F359" s="2519"/>
      <c r="G359" s="2519"/>
      <c r="H359" s="2519"/>
      <c r="I359" s="2519"/>
      <c r="J359" s="2519"/>
      <c r="K359" s="2519"/>
      <c r="L359" s="2519"/>
      <c r="M359" s="2519"/>
      <c r="N359" s="2519"/>
      <c r="O359" s="2519"/>
      <c r="P359" s="2519"/>
      <c r="Q359" s="2519"/>
      <c r="R359" s="2519"/>
      <c r="S359" s="2519"/>
      <c r="T359" s="2519"/>
      <c r="U359" s="2519"/>
      <c r="V359" s="2519"/>
      <c r="W359" s="2519"/>
      <c r="X359" s="2519"/>
      <c r="Y359" s="2519"/>
      <c r="Z359" s="2519"/>
      <c r="AA359" s="2519"/>
      <c r="AB359" s="2519"/>
      <c r="AC359" s="2519"/>
      <c r="AD359" s="2519"/>
      <c r="AE359" s="2519"/>
      <c r="AF359" s="2519"/>
      <c r="AG359" s="2519"/>
      <c r="AH359" s="2519"/>
      <c r="AI359" s="2519"/>
      <c r="AJ359" s="2519"/>
      <c r="AK359" s="601"/>
      <c r="AL359" s="601"/>
      <c r="AM359" s="601"/>
      <c r="AN359" s="595"/>
      <c r="AQ359" s="568"/>
    </row>
    <row r="360" spans="1:44" s="549" customFormat="1" ht="12.4" customHeight="1">
      <c r="A360" s="601"/>
      <c r="B360" s="609"/>
      <c r="C360" s="2519"/>
      <c r="D360" s="2519"/>
      <c r="E360" s="2519"/>
      <c r="F360" s="2519"/>
      <c r="G360" s="2519"/>
      <c r="H360" s="2519"/>
      <c r="I360" s="2519"/>
      <c r="J360" s="2519"/>
      <c r="K360" s="2519"/>
      <c r="L360" s="2519"/>
      <c r="M360" s="2519"/>
      <c r="N360" s="2519"/>
      <c r="O360" s="2519"/>
      <c r="P360" s="2519"/>
      <c r="Q360" s="2519"/>
      <c r="R360" s="2519"/>
      <c r="S360" s="2519"/>
      <c r="T360" s="2519"/>
      <c r="U360" s="2519"/>
      <c r="V360" s="2519"/>
      <c r="W360" s="2519"/>
      <c r="X360" s="2519"/>
      <c r="Y360" s="2519"/>
      <c r="Z360" s="2519"/>
      <c r="AA360" s="2519"/>
      <c r="AB360" s="2519"/>
      <c r="AC360" s="2519"/>
      <c r="AD360" s="2519"/>
      <c r="AE360" s="2519"/>
      <c r="AF360" s="2519"/>
      <c r="AG360" s="2519"/>
      <c r="AH360" s="2519"/>
      <c r="AI360" s="2519"/>
      <c r="AJ360" s="2519"/>
      <c r="AK360" s="601"/>
      <c r="AL360" s="601"/>
      <c r="AM360" s="601"/>
      <c r="AN360" s="595"/>
      <c r="AQ360" s="568"/>
      <c r="AR360" s="568"/>
    </row>
    <row r="361" spans="1:44" s="549" customFormat="1" ht="45.75" customHeight="1">
      <c r="A361" s="601"/>
      <c r="B361" s="609"/>
      <c r="C361" s="2519" t="s">
        <v>2046</v>
      </c>
      <c r="D361" s="2519"/>
      <c r="E361" s="2519"/>
      <c r="F361" s="2519"/>
      <c r="G361" s="2519"/>
      <c r="H361" s="2519"/>
      <c r="I361" s="2519"/>
      <c r="J361" s="2519"/>
      <c r="K361" s="2519"/>
      <c r="L361" s="2519"/>
      <c r="M361" s="2519"/>
      <c r="N361" s="2519"/>
      <c r="O361" s="2519"/>
      <c r="P361" s="2519"/>
      <c r="Q361" s="2519"/>
      <c r="R361" s="2519"/>
      <c r="S361" s="2519"/>
      <c r="T361" s="2519"/>
      <c r="U361" s="2519"/>
      <c r="V361" s="2519"/>
      <c r="W361" s="2519"/>
      <c r="X361" s="2519"/>
      <c r="Y361" s="2519"/>
      <c r="Z361" s="2519"/>
      <c r="AA361" s="2519"/>
      <c r="AB361" s="2519"/>
      <c r="AC361" s="2519"/>
      <c r="AD361" s="2519"/>
      <c r="AE361" s="2519"/>
      <c r="AF361" s="2519"/>
      <c r="AG361" s="2519"/>
      <c r="AH361" s="2519"/>
      <c r="AI361" s="2519"/>
      <c r="AJ361" s="2519"/>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19" t="s">
        <v>2160</v>
      </c>
      <c r="D363" s="2519"/>
      <c r="E363" s="2519"/>
      <c r="F363" s="2519"/>
      <c r="G363" s="2519"/>
      <c r="H363" s="2519"/>
      <c r="I363" s="2519"/>
      <c r="J363" s="2519"/>
      <c r="K363" s="2519"/>
      <c r="L363" s="2519"/>
      <c r="M363" s="2519"/>
      <c r="N363" s="2519"/>
      <c r="O363" s="2519"/>
      <c r="P363" s="2519"/>
      <c r="Q363" s="2519"/>
      <c r="R363" s="2519"/>
      <c r="S363" s="2519"/>
      <c r="T363" s="2519"/>
      <c r="U363" s="2519"/>
      <c r="V363" s="2519"/>
      <c r="W363" s="2519"/>
      <c r="X363" s="2519"/>
      <c r="Y363" s="2519"/>
      <c r="Z363" s="2519"/>
      <c r="AA363" s="2519"/>
      <c r="AB363" s="2519"/>
      <c r="AC363" s="2519"/>
      <c r="AD363" s="2519"/>
      <c r="AE363" s="2519"/>
      <c r="AF363" s="2519"/>
      <c r="AG363" s="2519"/>
      <c r="AH363" s="2519"/>
      <c r="AI363" s="2519"/>
      <c r="AJ363" s="2519"/>
      <c r="AK363" s="601"/>
      <c r="AL363" s="601"/>
      <c r="AM363" s="601"/>
      <c r="AN363" s="595"/>
      <c r="AQ363" s="568"/>
      <c r="AR363" s="568"/>
    </row>
    <row r="364" spans="1:44" s="549" customFormat="1" ht="30" customHeight="1">
      <c r="A364" s="601"/>
      <c r="B364" s="609"/>
      <c r="C364" s="2519"/>
      <c r="D364" s="2519"/>
      <c r="E364" s="2519"/>
      <c r="F364" s="2519"/>
      <c r="G364" s="2519"/>
      <c r="H364" s="2519"/>
      <c r="I364" s="2519"/>
      <c r="J364" s="2519"/>
      <c r="K364" s="2519"/>
      <c r="L364" s="2519"/>
      <c r="M364" s="2519"/>
      <c r="N364" s="2519"/>
      <c r="O364" s="2519"/>
      <c r="P364" s="2519"/>
      <c r="Q364" s="2519"/>
      <c r="R364" s="2519"/>
      <c r="S364" s="2519"/>
      <c r="T364" s="2519"/>
      <c r="U364" s="2519"/>
      <c r="V364" s="2519"/>
      <c r="W364" s="2519"/>
      <c r="X364" s="2519"/>
      <c r="Y364" s="2519"/>
      <c r="Z364" s="2519"/>
      <c r="AA364" s="2519"/>
      <c r="AB364" s="2519"/>
      <c r="AC364" s="2519"/>
      <c r="AD364" s="2519"/>
      <c r="AE364" s="2519"/>
      <c r="AF364" s="2519"/>
      <c r="AG364" s="2519"/>
      <c r="AH364" s="2519"/>
      <c r="AI364" s="2519"/>
      <c r="AJ364" s="2519"/>
      <c r="AK364" s="601"/>
      <c r="AL364" s="601"/>
      <c r="AM364" s="601"/>
      <c r="AN364" s="595"/>
      <c r="AR364" s="568"/>
    </row>
    <row r="365" spans="1:44" s="549" customFormat="1" ht="12.75" customHeight="1">
      <c r="A365" s="601"/>
      <c r="B365" s="609"/>
      <c r="C365" s="2519"/>
      <c r="D365" s="2519"/>
      <c r="E365" s="2519"/>
      <c r="F365" s="2519"/>
      <c r="G365" s="2519"/>
      <c r="H365" s="2519"/>
      <c r="I365" s="2519"/>
      <c r="J365" s="2519"/>
      <c r="K365" s="2519"/>
      <c r="L365" s="2519"/>
      <c r="M365" s="2519"/>
      <c r="N365" s="2519"/>
      <c r="O365" s="2519"/>
      <c r="P365" s="2519"/>
      <c r="Q365" s="2519"/>
      <c r="R365" s="2519"/>
      <c r="S365" s="2519"/>
      <c r="T365" s="2519"/>
      <c r="U365" s="2519"/>
      <c r="V365" s="2519"/>
      <c r="W365" s="2519"/>
      <c r="X365" s="2519"/>
      <c r="Y365" s="2519"/>
      <c r="Z365" s="2519"/>
      <c r="AA365" s="2519"/>
      <c r="AB365" s="2519"/>
      <c r="AC365" s="2519"/>
      <c r="AD365" s="2519"/>
      <c r="AE365" s="2519"/>
      <c r="AF365" s="2519"/>
      <c r="AG365" s="2519"/>
      <c r="AH365" s="2519"/>
      <c r="AI365" s="2519"/>
      <c r="AJ365" s="2519"/>
      <c r="AK365" s="601"/>
      <c r="AL365" s="601"/>
      <c r="AM365" s="601"/>
      <c r="AN365" s="595"/>
      <c r="AR365" s="568"/>
    </row>
    <row r="366" spans="1:44" s="549" customFormat="1" ht="12.75" customHeight="1">
      <c r="A366" s="601"/>
      <c r="B366" s="609"/>
      <c r="C366" s="2519" t="s">
        <v>1445</v>
      </c>
      <c r="D366" s="2519"/>
      <c r="E366" s="2519"/>
      <c r="F366" s="2519"/>
      <c r="G366" s="2519"/>
      <c r="H366" s="2519"/>
      <c r="I366" s="2519"/>
      <c r="J366" s="2519"/>
      <c r="K366" s="2519"/>
      <c r="L366" s="2519"/>
      <c r="M366" s="2519"/>
      <c r="N366" s="2519"/>
      <c r="O366" s="2519"/>
      <c r="P366" s="2519"/>
      <c r="Q366" s="2519"/>
      <c r="R366" s="2519"/>
      <c r="S366" s="2519"/>
      <c r="T366" s="2519"/>
      <c r="U366" s="2519"/>
      <c r="V366" s="2519"/>
      <c r="W366" s="2519"/>
      <c r="X366" s="2519"/>
      <c r="Y366" s="2519"/>
      <c r="Z366" s="2519"/>
      <c r="AA366" s="2519"/>
      <c r="AB366" s="2519"/>
      <c r="AC366" s="2519"/>
      <c r="AD366" s="2519"/>
      <c r="AE366" s="2519"/>
      <c r="AF366" s="2519"/>
      <c r="AG366" s="2519"/>
      <c r="AH366" s="2519"/>
      <c r="AI366" s="2519"/>
      <c r="AJ366" s="2519"/>
      <c r="AK366" s="601"/>
      <c r="AL366" s="601"/>
      <c r="AM366" s="601"/>
      <c r="AN366" s="595"/>
      <c r="AQ366" s="568"/>
      <c r="AR366" s="568"/>
    </row>
    <row r="367" spans="1:44" s="549" customFormat="1" ht="12.75" customHeight="1">
      <c r="A367" s="601"/>
      <c r="B367" s="609"/>
      <c r="C367" s="2519"/>
      <c r="D367" s="2519"/>
      <c r="E367" s="2519"/>
      <c r="F367" s="2519"/>
      <c r="G367" s="2519"/>
      <c r="H367" s="2519"/>
      <c r="I367" s="2519"/>
      <c r="J367" s="2519"/>
      <c r="K367" s="2519"/>
      <c r="L367" s="2519"/>
      <c r="M367" s="2519"/>
      <c r="N367" s="2519"/>
      <c r="O367" s="2519"/>
      <c r="P367" s="2519"/>
      <c r="Q367" s="2519"/>
      <c r="R367" s="2519"/>
      <c r="S367" s="2519"/>
      <c r="T367" s="2519"/>
      <c r="U367" s="2519"/>
      <c r="V367" s="2519"/>
      <c r="W367" s="2519"/>
      <c r="X367" s="2519"/>
      <c r="Y367" s="2519"/>
      <c r="Z367" s="2519"/>
      <c r="AA367" s="2519"/>
      <c r="AB367" s="2519"/>
      <c r="AC367" s="2519"/>
      <c r="AD367" s="2519"/>
      <c r="AE367" s="2519"/>
      <c r="AF367" s="2519"/>
      <c r="AG367" s="2519"/>
      <c r="AH367" s="2519"/>
      <c r="AI367" s="2519"/>
      <c r="AJ367" s="2519"/>
      <c r="AK367" s="601"/>
      <c r="AL367" s="601"/>
      <c r="AM367" s="601"/>
      <c r="AN367" s="595"/>
      <c r="AQ367" s="568"/>
      <c r="AR367" s="568"/>
    </row>
    <row r="368" spans="1:44" s="549" customFormat="1" ht="13.15" customHeight="1">
      <c r="A368" s="601"/>
      <c r="B368" s="609"/>
      <c r="C368" s="2519"/>
      <c r="D368" s="2519"/>
      <c r="E368" s="2519"/>
      <c r="F368" s="2519"/>
      <c r="G368" s="2519"/>
      <c r="H368" s="2519"/>
      <c r="I368" s="2519"/>
      <c r="J368" s="2519"/>
      <c r="K368" s="2519"/>
      <c r="L368" s="2519"/>
      <c r="M368" s="2519"/>
      <c r="N368" s="2519"/>
      <c r="O368" s="2519"/>
      <c r="P368" s="2519"/>
      <c r="Q368" s="2519"/>
      <c r="R368" s="2519"/>
      <c r="S368" s="2519"/>
      <c r="T368" s="2519"/>
      <c r="U368" s="2519"/>
      <c r="V368" s="2519"/>
      <c r="W368" s="2519"/>
      <c r="X368" s="2519"/>
      <c r="Y368" s="2519"/>
      <c r="Z368" s="2519"/>
      <c r="AA368" s="2519"/>
      <c r="AB368" s="2519"/>
      <c r="AC368" s="2519"/>
      <c r="AD368" s="2519"/>
      <c r="AE368" s="2519"/>
      <c r="AF368" s="2519"/>
      <c r="AG368" s="2519"/>
      <c r="AH368" s="2519"/>
      <c r="AI368" s="2519"/>
      <c r="AJ368" s="2519"/>
      <c r="AK368" s="601"/>
      <c r="AL368" s="601"/>
      <c r="AM368" s="601"/>
      <c r="AN368" s="595"/>
      <c r="AQ368" s="568"/>
      <c r="AR368" s="568"/>
    </row>
    <row r="369" spans="1:46" s="549" customFormat="1" ht="12.75" customHeight="1">
      <c r="A369" s="601"/>
      <c r="B369" s="609"/>
      <c r="C369" s="2519"/>
      <c r="D369" s="2519"/>
      <c r="E369" s="2519"/>
      <c r="F369" s="2519"/>
      <c r="G369" s="2519"/>
      <c r="H369" s="2519"/>
      <c r="I369" s="2519"/>
      <c r="J369" s="2519"/>
      <c r="K369" s="2519"/>
      <c r="L369" s="2519"/>
      <c r="M369" s="2519"/>
      <c r="N369" s="2519"/>
      <c r="O369" s="2519"/>
      <c r="P369" s="2519"/>
      <c r="Q369" s="2519"/>
      <c r="R369" s="2519"/>
      <c r="S369" s="2519"/>
      <c r="T369" s="2519"/>
      <c r="U369" s="2519"/>
      <c r="V369" s="2519"/>
      <c r="W369" s="2519"/>
      <c r="X369" s="2519"/>
      <c r="Y369" s="2519"/>
      <c r="Z369" s="2519"/>
      <c r="AA369" s="2519"/>
      <c r="AB369" s="2519"/>
      <c r="AC369" s="2519"/>
      <c r="AD369" s="2519"/>
      <c r="AE369" s="2519"/>
      <c r="AF369" s="2519"/>
      <c r="AG369" s="2519"/>
      <c r="AH369" s="2519"/>
      <c r="AI369" s="2519"/>
      <c r="AJ369" s="2519"/>
      <c r="AK369" s="601"/>
      <c r="AL369" s="601"/>
      <c r="AM369" s="601"/>
      <c r="AN369" s="595"/>
      <c r="AO369" s="690"/>
      <c r="AP369" s="690"/>
      <c r="AQ369" s="568"/>
    </row>
    <row r="370" spans="1:46" s="549" customFormat="1" ht="11.85" customHeight="1">
      <c r="A370" s="601"/>
      <c r="B370" s="609"/>
      <c r="C370" s="2519"/>
      <c r="D370" s="2519"/>
      <c r="E370" s="2519"/>
      <c r="F370" s="2519"/>
      <c r="G370" s="2519"/>
      <c r="H370" s="2519"/>
      <c r="I370" s="2519"/>
      <c r="J370" s="2519"/>
      <c r="K370" s="2519"/>
      <c r="L370" s="2519"/>
      <c r="M370" s="2519"/>
      <c r="N370" s="2519"/>
      <c r="O370" s="2519"/>
      <c r="P370" s="2519"/>
      <c r="Q370" s="2519"/>
      <c r="R370" s="2519"/>
      <c r="S370" s="2519"/>
      <c r="T370" s="2519"/>
      <c r="U370" s="2519"/>
      <c r="V370" s="2519"/>
      <c r="W370" s="2519"/>
      <c r="X370" s="2519"/>
      <c r="Y370" s="2519"/>
      <c r="Z370" s="2519"/>
      <c r="AA370" s="2519"/>
      <c r="AB370" s="2519"/>
      <c r="AC370" s="2519"/>
      <c r="AD370" s="2519"/>
      <c r="AE370" s="2519"/>
      <c r="AF370" s="2519"/>
      <c r="AG370" s="2519"/>
      <c r="AH370" s="2519"/>
      <c r="AI370" s="2519"/>
      <c r="AJ370" s="2519"/>
      <c r="AK370" s="601"/>
      <c r="AL370" s="601"/>
      <c r="AM370" s="601"/>
      <c r="AN370" s="595"/>
      <c r="AO370" s="691" t="s">
        <v>112</v>
      </c>
      <c r="AP370" s="692">
        <f>IF(C394="Yes",5,0)</f>
        <v>0</v>
      </c>
      <c r="AS370" s="539" t="s">
        <v>1446</v>
      </c>
    </row>
    <row r="371" spans="1:46" s="549" customFormat="1" ht="12.75" customHeight="1">
      <c r="A371" s="601"/>
      <c r="B371" s="609"/>
      <c r="C371" s="2519"/>
      <c r="D371" s="2519"/>
      <c r="E371" s="2519"/>
      <c r="F371" s="2519"/>
      <c r="G371" s="2519"/>
      <c r="H371" s="2519"/>
      <c r="I371" s="2519"/>
      <c r="J371" s="2519"/>
      <c r="K371" s="2519"/>
      <c r="L371" s="2519"/>
      <c r="M371" s="2519"/>
      <c r="N371" s="2519"/>
      <c r="O371" s="2519"/>
      <c r="P371" s="2519"/>
      <c r="Q371" s="2519"/>
      <c r="R371" s="2519"/>
      <c r="S371" s="2519"/>
      <c r="T371" s="2519"/>
      <c r="U371" s="2519"/>
      <c r="V371" s="2519"/>
      <c r="W371" s="2519"/>
      <c r="X371" s="2519"/>
      <c r="Y371" s="2519"/>
      <c r="Z371" s="2519"/>
      <c r="AA371" s="2519"/>
      <c r="AB371" s="2519"/>
      <c r="AC371" s="2519"/>
      <c r="AD371" s="2519"/>
      <c r="AE371" s="2519"/>
      <c r="AF371" s="2519"/>
      <c r="AG371" s="2519"/>
      <c r="AH371" s="2519"/>
      <c r="AI371" s="2519"/>
      <c r="AJ371" s="2519"/>
      <c r="AK371" s="601"/>
      <c r="AL371" s="601"/>
      <c r="AM371" s="601"/>
      <c r="AN371" s="595"/>
      <c r="AO371" s="691" t="s">
        <v>113</v>
      </c>
      <c r="AP371" s="692">
        <f>IF(C402="Yes",5,0)</f>
        <v>0</v>
      </c>
      <c r="AS371" s="2549">
        <f>IF(Application!D211="Non-Targeted",(SUM(AQ379+AQ388)),AS375)</f>
        <v>10</v>
      </c>
      <c r="AT371" s="2549"/>
    </row>
    <row r="372" spans="1:46" s="549" customFormat="1" ht="12.75" customHeight="1">
      <c r="A372" s="601"/>
      <c r="B372" s="609"/>
      <c r="C372" s="2519"/>
      <c r="D372" s="2519"/>
      <c r="E372" s="2519"/>
      <c r="F372" s="2519"/>
      <c r="G372" s="2519"/>
      <c r="H372" s="2519"/>
      <c r="I372" s="2519"/>
      <c r="J372" s="2519"/>
      <c r="K372" s="2519"/>
      <c r="L372" s="2519"/>
      <c r="M372" s="2519"/>
      <c r="N372" s="2519"/>
      <c r="O372" s="2519"/>
      <c r="P372" s="2519"/>
      <c r="Q372" s="2519"/>
      <c r="R372" s="2519"/>
      <c r="S372" s="2519"/>
      <c r="T372" s="2519"/>
      <c r="U372" s="2519"/>
      <c r="V372" s="2519"/>
      <c r="W372" s="2519"/>
      <c r="X372" s="2519"/>
      <c r="Y372" s="2519"/>
      <c r="Z372" s="2519"/>
      <c r="AA372" s="2519"/>
      <c r="AB372" s="2519"/>
      <c r="AC372" s="2519"/>
      <c r="AD372" s="2519"/>
      <c r="AE372" s="2519"/>
      <c r="AF372" s="2519"/>
      <c r="AG372" s="2519"/>
      <c r="AH372" s="2519"/>
      <c r="AI372" s="2519"/>
      <c r="AJ372" s="2519"/>
      <c r="AK372" s="601"/>
      <c r="AL372" s="601"/>
      <c r="AM372" s="601"/>
      <c r="AN372" s="595"/>
      <c r="AO372" s="691" t="s">
        <v>119</v>
      </c>
      <c r="AP372" s="692">
        <f>IF(C410="Yes",7,0)</f>
        <v>7</v>
      </c>
      <c r="AS372" s="539" t="s">
        <v>1447</v>
      </c>
    </row>
    <row r="373" spans="1:46" s="549" customFormat="1" ht="12.75" customHeight="1">
      <c r="B373" s="609"/>
      <c r="C373" s="2519"/>
      <c r="D373" s="2519"/>
      <c r="E373" s="2519"/>
      <c r="F373" s="2519"/>
      <c r="G373" s="2519"/>
      <c r="H373" s="2519"/>
      <c r="I373" s="2519"/>
      <c r="J373" s="2519"/>
      <c r="K373" s="2519"/>
      <c r="L373" s="2519"/>
      <c r="M373" s="2519"/>
      <c r="N373" s="2519"/>
      <c r="O373" s="2519"/>
      <c r="P373" s="2519"/>
      <c r="Q373" s="2519"/>
      <c r="R373" s="2519"/>
      <c r="S373" s="2519"/>
      <c r="T373" s="2519"/>
      <c r="U373" s="2519"/>
      <c r="V373" s="2519"/>
      <c r="W373" s="2519"/>
      <c r="X373" s="2519"/>
      <c r="Y373" s="2519"/>
      <c r="Z373" s="2519"/>
      <c r="AA373" s="2519"/>
      <c r="AB373" s="2519"/>
      <c r="AC373" s="2519"/>
      <c r="AD373" s="2519"/>
      <c r="AE373" s="2519"/>
      <c r="AF373" s="2519"/>
      <c r="AG373" s="2519"/>
      <c r="AH373" s="2519"/>
      <c r="AI373" s="2519"/>
      <c r="AJ373" s="2519"/>
      <c r="AK373" s="601"/>
      <c r="AL373" s="601"/>
      <c r="AM373" s="601"/>
      <c r="AN373" s="595"/>
      <c r="AO373" s="595"/>
      <c r="AP373" s="692">
        <f>IF(C412="Yes",5,0)</f>
        <v>0</v>
      </c>
      <c r="AS373" s="2549">
        <f>IF(AND(AQ379&gt;0,AQ388&gt;0),(AQ379+AQ388)/2,0)</f>
        <v>0</v>
      </c>
      <c r="AT373" s="2549"/>
    </row>
    <row r="374" spans="1:46" s="549" customFormat="1" ht="12.75" customHeight="1">
      <c r="A374" s="601"/>
      <c r="B374" s="609"/>
      <c r="C374" s="2519"/>
      <c r="D374" s="2519"/>
      <c r="E374" s="2519"/>
      <c r="F374" s="2519"/>
      <c r="G374" s="2519"/>
      <c r="H374" s="2519"/>
      <c r="I374" s="2519"/>
      <c r="J374" s="2519"/>
      <c r="K374" s="2519"/>
      <c r="L374" s="2519"/>
      <c r="M374" s="2519"/>
      <c r="N374" s="2519"/>
      <c r="O374" s="2519"/>
      <c r="P374" s="2519"/>
      <c r="Q374" s="2519"/>
      <c r="R374" s="2519"/>
      <c r="S374" s="2519"/>
      <c r="T374" s="2519"/>
      <c r="U374" s="2519"/>
      <c r="V374" s="2519"/>
      <c r="W374" s="2519"/>
      <c r="X374" s="2519"/>
      <c r="Y374" s="2519"/>
      <c r="Z374" s="2519"/>
      <c r="AA374" s="2519"/>
      <c r="AB374" s="2519"/>
      <c r="AC374" s="2519"/>
      <c r="AD374" s="2519"/>
      <c r="AE374" s="2519"/>
      <c r="AF374" s="2519"/>
      <c r="AG374" s="2519"/>
      <c r="AH374" s="2519"/>
      <c r="AI374" s="2519"/>
      <c r="AJ374" s="2519"/>
      <c r="AK374" s="601"/>
      <c r="AL374" s="601"/>
      <c r="AM374" s="601"/>
      <c r="AN374" s="595"/>
      <c r="AO374" s="691" t="s">
        <v>580</v>
      </c>
      <c r="AP374" s="692">
        <f>IF(C420="Yes",5,0)</f>
        <v>0</v>
      </c>
      <c r="AS374" s="539" t="s">
        <v>1851</v>
      </c>
    </row>
    <row r="375" spans="1:46" s="549" customFormat="1" ht="12.75" customHeight="1">
      <c r="A375" s="601"/>
      <c r="B375" s="609"/>
      <c r="C375" s="2550" t="s">
        <v>2184</v>
      </c>
      <c r="D375" s="2550"/>
      <c r="E375" s="2550"/>
      <c r="F375" s="2550"/>
      <c r="G375" s="2550"/>
      <c r="H375" s="2550"/>
      <c r="I375" s="2550"/>
      <c r="J375" s="2550"/>
      <c r="K375" s="2550"/>
      <c r="L375" s="2550"/>
      <c r="M375" s="2550"/>
      <c r="N375" s="2550"/>
      <c r="O375" s="2550"/>
      <c r="P375" s="2550"/>
      <c r="Q375" s="2550"/>
      <c r="R375" s="2550"/>
      <c r="S375" s="2550"/>
      <c r="T375" s="2550"/>
      <c r="U375" s="2550"/>
      <c r="V375" s="2550"/>
      <c r="W375" s="2550"/>
      <c r="X375" s="2550"/>
      <c r="Y375" s="2550"/>
      <c r="Z375" s="2550"/>
      <c r="AA375" s="2550"/>
      <c r="AB375" s="2550"/>
      <c r="AC375" s="2550"/>
      <c r="AD375" s="2550"/>
      <c r="AE375" s="2550"/>
      <c r="AF375" s="2550"/>
      <c r="AG375" s="2550"/>
      <c r="AH375" s="2550"/>
      <c r="AI375" s="2550"/>
      <c r="AJ375" s="2550"/>
      <c r="AK375" s="601"/>
      <c r="AL375" s="601"/>
      <c r="AM375" s="601"/>
      <c r="AN375" s="595"/>
      <c r="AO375" s="595"/>
      <c r="AP375" s="692">
        <f>IF(C422="Yes",3,0)</f>
        <v>3</v>
      </c>
      <c r="AS375" s="2549">
        <f>IF(AQ379=0,AQ388,AQ379)</f>
        <v>10</v>
      </c>
      <c r="AT375" s="2549"/>
    </row>
    <row r="376" spans="1:46" s="549" customFormat="1" ht="12.75" customHeight="1">
      <c r="A376" s="601"/>
      <c r="B376" s="609"/>
      <c r="C376" s="2550"/>
      <c r="D376" s="2550"/>
      <c r="E376" s="2550"/>
      <c r="F376" s="2550"/>
      <c r="G376" s="2550"/>
      <c r="H376" s="2550"/>
      <c r="I376" s="2550"/>
      <c r="J376" s="2550"/>
      <c r="K376" s="2550"/>
      <c r="L376" s="2550"/>
      <c r="M376" s="2550"/>
      <c r="N376" s="2550"/>
      <c r="O376" s="2550"/>
      <c r="P376" s="2550"/>
      <c r="Q376" s="2550"/>
      <c r="R376" s="2550"/>
      <c r="S376" s="2550"/>
      <c r="T376" s="2550"/>
      <c r="U376" s="2550"/>
      <c r="V376" s="2550"/>
      <c r="W376" s="2550"/>
      <c r="X376" s="2550"/>
      <c r="Y376" s="2550"/>
      <c r="Z376" s="2550"/>
      <c r="AA376" s="2550"/>
      <c r="AB376" s="2550"/>
      <c r="AC376" s="2550"/>
      <c r="AD376" s="2550"/>
      <c r="AE376" s="2550"/>
      <c r="AF376" s="2550"/>
      <c r="AG376" s="2550"/>
      <c r="AH376" s="2550"/>
      <c r="AI376" s="2550"/>
      <c r="AJ376" s="2550"/>
      <c r="AK376" s="601"/>
      <c r="AL376" s="601"/>
      <c r="AM376" s="601"/>
      <c r="AN376" s="595"/>
      <c r="AO376" s="691" t="s">
        <v>762</v>
      </c>
      <c r="AP376" s="692">
        <f>IF(C425="Yes",5,0)</f>
        <v>0</v>
      </c>
    </row>
    <row r="377" spans="1:46" s="549" customFormat="1" ht="12.75" customHeight="1">
      <c r="A377" s="601"/>
      <c r="B377" s="609"/>
      <c r="C377" s="2550"/>
      <c r="D377" s="2550"/>
      <c r="E377" s="2550"/>
      <c r="F377" s="2550"/>
      <c r="G377" s="2550"/>
      <c r="H377" s="2550"/>
      <c r="I377" s="2550"/>
      <c r="J377" s="2550"/>
      <c r="K377" s="2550"/>
      <c r="L377" s="2550"/>
      <c r="M377" s="2550"/>
      <c r="N377" s="2550"/>
      <c r="O377" s="2550"/>
      <c r="P377" s="2550"/>
      <c r="Q377" s="2550"/>
      <c r="R377" s="2550"/>
      <c r="S377" s="2550"/>
      <c r="T377" s="2550"/>
      <c r="U377" s="2550"/>
      <c r="V377" s="2550"/>
      <c r="W377" s="2550"/>
      <c r="X377" s="2550"/>
      <c r="Y377" s="2550"/>
      <c r="Z377" s="2550"/>
      <c r="AA377" s="2550"/>
      <c r="AB377" s="2550"/>
      <c r="AC377" s="2550"/>
      <c r="AD377" s="2550"/>
      <c r="AE377" s="2550"/>
      <c r="AF377" s="2550"/>
      <c r="AG377" s="2550"/>
      <c r="AH377" s="2550"/>
      <c r="AI377" s="2550"/>
      <c r="AJ377" s="2550"/>
      <c r="AK377" s="601"/>
      <c r="AL377" s="601"/>
      <c r="AM377" s="601"/>
      <c r="AN377" s="595"/>
      <c r="AO377" s="691" t="s">
        <v>583</v>
      </c>
      <c r="AP377" s="692">
        <f>IF(C434="Yes",5,0)</f>
        <v>0</v>
      </c>
    </row>
    <row r="378" spans="1:46" s="549" customFormat="1" ht="11.85" customHeight="1">
      <c r="A378" s="601"/>
      <c r="B378" s="609"/>
      <c r="C378" s="2550"/>
      <c r="D378" s="2550"/>
      <c r="E378" s="2550"/>
      <c r="F378" s="2550"/>
      <c r="G378" s="2550"/>
      <c r="H378" s="2550"/>
      <c r="I378" s="2550"/>
      <c r="J378" s="2550"/>
      <c r="K378" s="2550"/>
      <c r="L378" s="2550"/>
      <c r="M378" s="2550"/>
      <c r="N378" s="2550"/>
      <c r="O378" s="2550"/>
      <c r="P378" s="2550"/>
      <c r="Q378" s="2550"/>
      <c r="R378" s="2550"/>
      <c r="S378" s="2550"/>
      <c r="T378" s="2550"/>
      <c r="U378" s="2550"/>
      <c r="V378" s="2550"/>
      <c r="W378" s="2550"/>
      <c r="X378" s="2550"/>
      <c r="Y378" s="2550"/>
      <c r="Z378" s="2550"/>
      <c r="AA378" s="2550"/>
      <c r="AB378" s="2550"/>
      <c r="AC378" s="2550"/>
      <c r="AD378" s="2550"/>
      <c r="AE378" s="2550"/>
      <c r="AF378" s="2550"/>
      <c r="AG378" s="2550"/>
      <c r="AH378" s="2550"/>
      <c r="AI378" s="2550"/>
      <c r="AJ378" s="2550"/>
      <c r="AK378" s="601"/>
      <c r="AL378" s="601"/>
      <c r="AM378" s="601"/>
      <c r="AN378" s="595"/>
      <c r="AO378" s="693"/>
      <c r="AP378" s="694">
        <f>IF(C436="Yes",3,0)</f>
        <v>0</v>
      </c>
    </row>
    <row r="379" spans="1:46" s="549" customFormat="1" ht="12.4" customHeight="1">
      <c r="A379" s="601"/>
      <c r="B379" s="609"/>
      <c r="C379" s="2550"/>
      <c r="D379" s="2550"/>
      <c r="E379" s="2550"/>
      <c r="F379" s="2550"/>
      <c r="G379" s="2550"/>
      <c r="H379" s="2550"/>
      <c r="I379" s="2550"/>
      <c r="J379" s="2550"/>
      <c r="K379" s="2550"/>
      <c r="L379" s="2550"/>
      <c r="M379" s="2550"/>
      <c r="N379" s="2550"/>
      <c r="O379" s="2550"/>
      <c r="P379" s="2550"/>
      <c r="Q379" s="2550"/>
      <c r="R379" s="2550"/>
      <c r="S379" s="2550"/>
      <c r="T379" s="2550"/>
      <c r="U379" s="2550"/>
      <c r="V379" s="2550"/>
      <c r="W379" s="2550"/>
      <c r="X379" s="2550"/>
      <c r="Y379" s="2550"/>
      <c r="Z379" s="2550"/>
      <c r="AA379" s="2550"/>
      <c r="AB379" s="2550"/>
      <c r="AC379" s="2550"/>
      <c r="AD379" s="2550"/>
      <c r="AE379" s="2550"/>
      <c r="AF379" s="2550"/>
      <c r="AG379" s="2550"/>
      <c r="AH379" s="2550"/>
      <c r="AI379" s="2550"/>
      <c r="AJ379" s="2550"/>
      <c r="AK379" s="601"/>
      <c r="AL379" s="601"/>
      <c r="AM379" s="601"/>
      <c r="AN379" s="595"/>
      <c r="AO379" s="695" t="s">
        <v>227</v>
      </c>
      <c r="AP379" s="696">
        <f>SUM(AP370:AP378)</f>
        <v>10</v>
      </c>
      <c r="AQ379" s="2551">
        <f>IF(AP379&gt;0,AP379,0)</f>
        <v>10</v>
      </c>
      <c r="AR379" s="2551"/>
    </row>
    <row r="380" spans="1:46" s="549" customFormat="1" ht="12.75" customHeight="1">
      <c r="A380" s="601"/>
      <c r="B380" s="609"/>
      <c r="C380" s="2550"/>
      <c r="D380" s="2550"/>
      <c r="E380" s="2550"/>
      <c r="F380" s="2550"/>
      <c r="G380" s="2550"/>
      <c r="H380" s="2550"/>
      <c r="I380" s="2550"/>
      <c r="J380" s="2550"/>
      <c r="K380" s="2550"/>
      <c r="L380" s="2550"/>
      <c r="M380" s="2550"/>
      <c r="N380" s="2550"/>
      <c r="O380" s="2550"/>
      <c r="P380" s="2550"/>
      <c r="Q380" s="2550"/>
      <c r="R380" s="2550"/>
      <c r="S380" s="2550"/>
      <c r="T380" s="2550"/>
      <c r="U380" s="2550"/>
      <c r="V380" s="2550"/>
      <c r="W380" s="2550"/>
      <c r="X380" s="2550"/>
      <c r="Y380" s="2550"/>
      <c r="Z380" s="2550"/>
      <c r="AA380" s="2550"/>
      <c r="AB380" s="2550"/>
      <c r="AC380" s="2550"/>
      <c r="AD380" s="2550"/>
      <c r="AE380" s="2550"/>
      <c r="AF380" s="2550"/>
      <c r="AG380" s="2550"/>
      <c r="AH380" s="2550"/>
      <c r="AI380" s="2550"/>
      <c r="AJ380" s="2550"/>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19" t="s">
        <v>1448</v>
      </c>
      <c r="D382" s="2519"/>
      <c r="E382" s="2519"/>
      <c r="F382" s="2519"/>
      <c r="G382" s="2519"/>
      <c r="H382" s="2519"/>
      <c r="I382" s="2519"/>
      <c r="J382" s="2519"/>
      <c r="K382" s="2519"/>
      <c r="L382" s="2519"/>
      <c r="M382" s="2519"/>
      <c r="N382" s="2519"/>
      <c r="O382" s="2519"/>
      <c r="P382" s="2519"/>
      <c r="Q382" s="2519"/>
      <c r="R382" s="2519"/>
      <c r="S382" s="2519"/>
      <c r="T382" s="2519"/>
      <c r="U382" s="2519"/>
      <c r="V382" s="2519"/>
      <c r="W382" s="2519"/>
      <c r="X382" s="2519"/>
      <c r="Y382" s="2519"/>
      <c r="Z382" s="2519"/>
      <c r="AA382" s="2519"/>
      <c r="AB382" s="2519"/>
      <c r="AC382" s="2519"/>
      <c r="AD382" s="2519"/>
      <c r="AE382" s="2519"/>
      <c r="AF382" s="2519"/>
      <c r="AG382" s="2519"/>
      <c r="AH382" s="2519"/>
      <c r="AI382" s="2519"/>
      <c r="AJ382" s="2519"/>
      <c r="AK382" s="601"/>
      <c r="AL382" s="601"/>
      <c r="AM382" s="601"/>
      <c r="AN382" s="595"/>
      <c r="AO382" s="691" t="s">
        <v>455</v>
      </c>
      <c r="AP382" s="692">
        <f>IF(C455="Yes",5,0)</f>
        <v>0</v>
      </c>
    </row>
    <row r="383" spans="1:46" s="549" customFormat="1" ht="12.75" customHeight="1">
      <c r="A383" s="601"/>
      <c r="B383" s="609"/>
      <c r="C383" s="2519"/>
      <c r="D383" s="2519"/>
      <c r="E383" s="2519"/>
      <c r="F383" s="2519"/>
      <c r="G383" s="2519"/>
      <c r="H383" s="2519"/>
      <c r="I383" s="2519"/>
      <c r="J383" s="2519"/>
      <c r="K383" s="2519"/>
      <c r="L383" s="2519"/>
      <c r="M383" s="2519"/>
      <c r="N383" s="2519"/>
      <c r="O383" s="2519"/>
      <c r="P383" s="2519"/>
      <c r="Q383" s="2519"/>
      <c r="R383" s="2519"/>
      <c r="S383" s="2519"/>
      <c r="T383" s="2519"/>
      <c r="U383" s="2519"/>
      <c r="V383" s="2519"/>
      <c r="W383" s="2519"/>
      <c r="X383" s="2519"/>
      <c r="Y383" s="2519"/>
      <c r="Z383" s="2519"/>
      <c r="AA383" s="2519"/>
      <c r="AB383" s="2519"/>
      <c r="AC383" s="2519"/>
      <c r="AD383" s="2519"/>
      <c r="AE383" s="2519"/>
      <c r="AF383" s="2519"/>
      <c r="AG383" s="2519"/>
      <c r="AH383" s="2519"/>
      <c r="AI383" s="2519"/>
      <c r="AJ383" s="2519"/>
      <c r="AK383" s="601"/>
      <c r="AL383" s="601"/>
      <c r="AM383" s="601"/>
      <c r="AN383" s="595"/>
      <c r="AO383" s="691" t="s">
        <v>460</v>
      </c>
      <c r="AP383" s="692">
        <f>IF(C462="Yes",5,0)</f>
        <v>0</v>
      </c>
    </row>
    <row r="384" spans="1:46" s="549" customFormat="1" ht="68.099999999999994" customHeight="1">
      <c r="A384" s="601"/>
      <c r="B384" s="609"/>
      <c r="C384" s="2519"/>
      <c r="D384" s="2519"/>
      <c r="E384" s="2519"/>
      <c r="F384" s="2519"/>
      <c r="G384" s="2519"/>
      <c r="H384" s="2519"/>
      <c r="I384" s="2519"/>
      <c r="J384" s="2519"/>
      <c r="K384" s="2519"/>
      <c r="L384" s="2519"/>
      <c r="M384" s="2519"/>
      <c r="N384" s="2519"/>
      <c r="O384" s="2519"/>
      <c r="P384" s="2519"/>
      <c r="Q384" s="2519"/>
      <c r="R384" s="2519"/>
      <c r="S384" s="2519"/>
      <c r="T384" s="2519"/>
      <c r="U384" s="2519"/>
      <c r="V384" s="2519"/>
      <c r="W384" s="2519"/>
      <c r="X384" s="2519"/>
      <c r="Y384" s="2519"/>
      <c r="Z384" s="2519"/>
      <c r="AA384" s="2519"/>
      <c r="AB384" s="2519"/>
      <c r="AC384" s="2519"/>
      <c r="AD384" s="2519"/>
      <c r="AE384" s="2519"/>
      <c r="AF384" s="2519"/>
      <c r="AG384" s="2519"/>
      <c r="AH384" s="2519"/>
      <c r="AI384" s="2519"/>
      <c r="AJ384" s="2519"/>
      <c r="AK384" s="601"/>
      <c r="AL384" s="601"/>
      <c r="AM384" s="601"/>
      <c r="AN384" s="595"/>
      <c r="AO384" s="691" t="s">
        <v>645</v>
      </c>
      <c r="AP384" s="697">
        <f>IF(C466="Yes",5,0)</f>
        <v>0</v>
      </c>
    </row>
    <row r="385" spans="1:81" s="549" customFormat="1" ht="12.4" customHeight="1">
      <c r="B385" s="609"/>
      <c r="C385" s="549" t="s">
        <v>1449</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2163</v>
      </c>
      <c r="D386" s="699"/>
      <c r="E386" s="699"/>
      <c r="F386" s="699"/>
      <c r="G386" s="699"/>
      <c r="H386" s="699"/>
      <c r="I386" s="699"/>
      <c r="J386" s="699"/>
      <c r="K386" s="699"/>
      <c r="L386" s="699"/>
      <c r="M386" s="663"/>
      <c r="N386" s="663"/>
      <c r="O386" s="700"/>
      <c r="P386" s="699"/>
      <c r="Q386" s="699"/>
      <c r="R386" s="663"/>
      <c r="S386" s="663"/>
      <c r="T386" s="699"/>
      <c r="U386" s="2615">
        <f>Application!DU810-U387</f>
        <v>323</v>
      </c>
      <c r="V386" s="2615"/>
      <c r="W386" s="2615"/>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2164</v>
      </c>
      <c r="D387" s="690"/>
      <c r="E387" s="690"/>
      <c r="F387" s="690"/>
      <c r="G387" s="690"/>
      <c r="H387" s="690"/>
      <c r="I387" s="690"/>
      <c r="J387" s="690"/>
      <c r="K387" s="690"/>
      <c r="L387" s="690"/>
      <c r="M387" s="690"/>
      <c r="N387" s="690"/>
      <c r="O387" s="690"/>
      <c r="P387" s="690"/>
      <c r="Q387" s="690"/>
      <c r="R387" s="690"/>
      <c r="S387" s="690"/>
      <c r="T387" s="690"/>
      <c r="U387" s="2616">
        <f>IF(Application!D211="SRO",Application!DU763,Application!AG764)</f>
        <v>0</v>
      </c>
      <c r="V387" s="2616"/>
      <c r="W387" s="2616"/>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551">
        <f>IF(AP388&gt;0,AP388,0)</f>
        <v>0</v>
      </c>
      <c r="AR388" s="2551"/>
    </row>
    <row r="389" spans="1:81" s="549" customFormat="1" ht="12.75" customHeight="1">
      <c r="A389" s="601"/>
      <c r="B389" s="14"/>
      <c r="C389" s="708" t="s">
        <v>2161</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1308</v>
      </c>
      <c r="F390" s="2523" t="s">
        <v>1450</v>
      </c>
      <c r="G390" s="2523"/>
      <c r="H390" s="2523"/>
      <c r="I390" s="2523"/>
      <c r="J390" s="2523"/>
      <c r="K390" s="2523"/>
      <c r="L390" s="2523"/>
      <c r="M390" s="2523"/>
      <c r="N390" s="2523"/>
      <c r="O390" s="2523"/>
      <c r="P390" s="2523"/>
      <c r="Q390" s="2523"/>
      <c r="R390" s="2523"/>
      <c r="S390" s="2523"/>
      <c r="T390" s="2523"/>
      <c r="U390" s="2523"/>
      <c r="V390" s="2523"/>
      <c r="W390" s="2523"/>
      <c r="X390" s="2523"/>
      <c r="Y390" s="2523"/>
      <c r="Z390" s="2523"/>
      <c r="AA390" s="2523"/>
      <c r="AB390" s="2523"/>
      <c r="AC390" s="2523"/>
      <c r="AD390" s="2523"/>
      <c r="AE390" s="2523"/>
      <c r="AF390" s="2523"/>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96"/>
      <c r="G391" s="2396"/>
      <c r="H391" s="2396"/>
      <c r="I391" s="2396"/>
      <c r="J391" s="2396"/>
      <c r="K391" s="2396"/>
      <c r="L391" s="2396"/>
      <c r="M391" s="2396"/>
      <c r="N391" s="2396"/>
      <c r="O391" s="2396"/>
      <c r="P391" s="2396"/>
      <c r="Q391" s="2396"/>
      <c r="R391" s="2396"/>
      <c r="S391" s="2396"/>
      <c r="T391" s="2396"/>
      <c r="U391" s="2396"/>
      <c r="V391" s="2396"/>
      <c r="W391" s="2396"/>
      <c r="X391" s="2396"/>
      <c r="Y391" s="2396"/>
      <c r="Z391" s="2396"/>
      <c r="AA391" s="2396"/>
      <c r="AB391" s="2396"/>
      <c r="AC391" s="2396"/>
      <c r="AD391" s="2396"/>
      <c r="AE391" s="2396"/>
      <c r="AF391" s="2396"/>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96"/>
      <c r="G392" s="2396"/>
      <c r="H392" s="2396"/>
      <c r="I392" s="2396"/>
      <c r="J392" s="2396"/>
      <c r="K392" s="2396"/>
      <c r="L392" s="2396"/>
      <c r="M392" s="2396"/>
      <c r="N392" s="2396"/>
      <c r="O392" s="2396"/>
      <c r="P392" s="2396"/>
      <c r="Q392" s="2396"/>
      <c r="R392" s="2396"/>
      <c r="S392" s="2396"/>
      <c r="T392" s="2396"/>
      <c r="U392" s="2396"/>
      <c r="V392" s="2396"/>
      <c r="W392" s="2396"/>
      <c r="X392" s="2396"/>
      <c r="Y392" s="2396"/>
      <c r="Z392" s="2396"/>
      <c r="AA392" s="2396"/>
      <c r="AB392" s="2396"/>
      <c r="AC392" s="2396"/>
      <c r="AD392" s="2396"/>
      <c r="AE392" s="2396"/>
      <c r="AF392" s="2396"/>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96"/>
      <c r="G393" s="2396"/>
      <c r="H393" s="2396"/>
      <c r="I393" s="2396"/>
      <c r="J393" s="2396"/>
      <c r="K393" s="2396"/>
      <c r="L393" s="2396"/>
      <c r="M393" s="2396"/>
      <c r="N393" s="2396"/>
      <c r="O393" s="2396"/>
      <c r="P393" s="2396"/>
      <c r="Q393" s="2396"/>
      <c r="R393" s="2396"/>
      <c r="S393" s="2396"/>
      <c r="T393" s="2396"/>
      <c r="U393" s="2396"/>
      <c r="V393" s="2396"/>
      <c r="W393" s="2396"/>
      <c r="X393" s="2396"/>
      <c r="Y393" s="2396"/>
      <c r="Z393" s="2396"/>
      <c r="AA393" s="2396"/>
      <c r="AB393" s="2396"/>
      <c r="AC393" s="2396"/>
      <c r="AD393" s="2396"/>
      <c r="AE393" s="2396"/>
      <c r="AF393" s="2396"/>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20" t="s">
        <v>590</v>
      </c>
      <c r="D394" s="2480"/>
      <c r="E394" s="715"/>
      <c r="F394" s="717" t="s">
        <v>1451</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21" t="s">
        <v>1452</v>
      </c>
      <c r="AG394" s="2521"/>
      <c r="AH394" s="2521"/>
      <c r="AI394" s="2521"/>
      <c r="AJ394" s="2521"/>
      <c r="AK394" s="2521"/>
      <c r="AL394" s="2522"/>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1310</v>
      </c>
      <c r="F397" s="2523" t="s">
        <v>1453</v>
      </c>
      <c r="G397" s="2523"/>
      <c r="H397" s="2523"/>
      <c r="I397" s="2523"/>
      <c r="J397" s="2523"/>
      <c r="K397" s="2523"/>
      <c r="L397" s="2523"/>
      <c r="M397" s="2523"/>
      <c r="N397" s="2523"/>
      <c r="O397" s="2523"/>
      <c r="P397" s="2523"/>
      <c r="Q397" s="2523"/>
      <c r="R397" s="2523"/>
      <c r="S397" s="2523"/>
      <c r="T397" s="2523"/>
      <c r="U397" s="2523"/>
      <c r="V397" s="2523"/>
      <c r="W397" s="2523"/>
      <c r="X397" s="2523"/>
      <c r="Y397" s="2523"/>
      <c r="Z397" s="2523"/>
      <c r="AA397" s="2523"/>
      <c r="AB397" s="2523"/>
      <c r="AC397" s="2523"/>
      <c r="AD397" s="2523"/>
      <c r="AE397" s="2523"/>
      <c r="AF397" s="2523"/>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96"/>
      <c r="G398" s="2396"/>
      <c r="H398" s="2396"/>
      <c r="I398" s="2396"/>
      <c r="J398" s="2396"/>
      <c r="K398" s="2396"/>
      <c r="L398" s="2396"/>
      <c r="M398" s="2396"/>
      <c r="N398" s="2396"/>
      <c r="O398" s="2396"/>
      <c r="P398" s="2396"/>
      <c r="Q398" s="2396"/>
      <c r="R398" s="2396"/>
      <c r="S398" s="2396"/>
      <c r="T398" s="2396"/>
      <c r="U398" s="2396"/>
      <c r="V398" s="2396"/>
      <c r="W398" s="2396"/>
      <c r="X398" s="2396"/>
      <c r="Y398" s="2396"/>
      <c r="Z398" s="2396"/>
      <c r="AA398" s="2396"/>
      <c r="AB398" s="2396"/>
      <c r="AC398" s="2396"/>
      <c r="AD398" s="2396"/>
      <c r="AE398" s="2396"/>
      <c r="AF398" s="2396"/>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96"/>
      <c r="G399" s="2396"/>
      <c r="H399" s="2396"/>
      <c r="I399" s="2396"/>
      <c r="J399" s="2396"/>
      <c r="K399" s="2396"/>
      <c r="L399" s="2396"/>
      <c r="M399" s="2396"/>
      <c r="N399" s="2396"/>
      <c r="O399" s="2396"/>
      <c r="P399" s="2396"/>
      <c r="Q399" s="2396"/>
      <c r="R399" s="2396"/>
      <c r="S399" s="2396"/>
      <c r="T399" s="2396"/>
      <c r="U399" s="2396"/>
      <c r="V399" s="2396"/>
      <c r="W399" s="2396"/>
      <c r="X399" s="2396"/>
      <c r="Y399" s="2396"/>
      <c r="Z399" s="2396"/>
      <c r="AA399" s="2396"/>
      <c r="AB399" s="2396"/>
      <c r="AC399" s="2396"/>
      <c r="AD399" s="2396"/>
      <c r="AE399" s="2396"/>
      <c r="AF399" s="2396"/>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96"/>
      <c r="G400" s="2396"/>
      <c r="H400" s="2396"/>
      <c r="I400" s="2396"/>
      <c r="J400" s="2396"/>
      <c r="K400" s="2396"/>
      <c r="L400" s="2396"/>
      <c r="M400" s="2396"/>
      <c r="N400" s="2396"/>
      <c r="O400" s="2396"/>
      <c r="P400" s="2396"/>
      <c r="Q400" s="2396"/>
      <c r="R400" s="2396"/>
      <c r="S400" s="2396"/>
      <c r="T400" s="2396"/>
      <c r="U400" s="2396"/>
      <c r="V400" s="2396"/>
      <c r="W400" s="2396"/>
      <c r="X400" s="2396"/>
      <c r="Y400" s="2396"/>
      <c r="Z400" s="2396"/>
      <c r="AA400" s="2396"/>
      <c r="AB400" s="2396"/>
      <c r="AC400" s="2396"/>
      <c r="AD400" s="2396"/>
      <c r="AE400" s="2396"/>
      <c r="AF400" s="2396"/>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96"/>
      <c r="G401" s="2396"/>
      <c r="H401" s="2396"/>
      <c r="I401" s="2396"/>
      <c r="J401" s="2396"/>
      <c r="K401" s="2396"/>
      <c r="L401" s="2396"/>
      <c r="M401" s="2396"/>
      <c r="N401" s="2396"/>
      <c r="O401" s="2396"/>
      <c r="P401" s="2396"/>
      <c r="Q401" s="2396"/>
      <c r="R401" s="2396"/>
      <c r="S401" s="2396"/>
      <c r="T401" s="2396"/>
      <c r="U401" s="2396"/>
      <c r="V401" s="2396"/>
      <c r="W401" s="2396"/>
      <c r="X401" s="2396"/>
      <c r="Y401" s="2396"/>
      <c r="Z401" s="2396"/>
      <c r="AA401" s="2396"/>
      <c r="AB401" s="2396"/>
      <c r="AC401" s="2396"/>
      <c r="AD401" s="2396"/>
      <c r="AE401" s="2396"/>
      <c r="AF401" s="2396"/>
      <c r="AL401" s="728"/>
      <c r="AN401" s="595"/>
      <c r="BS401" s="30"/>
      <c r="BT401" s="30"/>
      <c r="BU401" s="14"/>
      <c r="BV401" s="14"/>
      <c r="BW401" s="14"/>
      <c r="BX401" s="14"/>
      <c r="BY401" s="14"/>
      <c r="BZ401" s="14"/>
      <c r="CA401" s="14"/>
      <c r="CB401" s="14"/>
      <c r="CC401" s="14"/>
    </row>
    <row r="402" spans="1:81" s="549" customFormat="1" ht="12.75" customHeight="1">
      <c r="A402" s="536"/>
      <c r="B402" s="14"/>
      <c r="C402" s="2520" t="s">
        <v>590</v>
      </c>
      <c r="D402" s="2480"/>
      <c r="E402" s="687"/>
      <c r="F402" s="717" t="s">
        <v>1454</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21" t="s">
        <v>1452</v>
      </c>
      <c r="AG402" s="2521"/>
      <c r="AH402" s="2521"/>
      <c r="AI402" s="2521"/>
      <c r="AJ402" s="2521"/>
      <c r="AK402" s="2521"/>
      <c r="AL402" s="2522"/>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1313</v>
      </c>
      <c r="F405" s="2523" t="s">
        <v>1455</v>
      </c>
      <c r="G405" s="2523"/>
      <c r="H405" s="2523"/>
      <c r="I405" s="2523"/>
      <c r="J405" s="2523"/>
      <c r="K405" s="2523"/>
      <c r="L405" s="2523"/>
      <c r="M405" s="2523"/>
      <c r="N405" s="2523"/>
      <c r="O405" s="2523"/>
      <c r="P405" s="2523"/>
      <c r="Q405" s="2523"/>
      <c r="R405" s="2523"/>
      <c r="S405" s="2523"/>
      <c r="T405" s="2523"/>
      <c r="U405" s="2523"/>
      <c r="V405" s="2523"/>
      <c r="W405" s="2523"/>
      <c r="X405" s="2523"/>
      <c r="Y405" s="2523"/>
      <c r="Z405" s="2523"/>
      <c r="AA405" s="2523"/>
      <c r="AB405" s="2523"/>
      <c r="AC405" s="2523"/>
      <c r="AD405" s="2523"/>
      <c r="AE405" s="2523"/>
      <c r="AF405" s="2523"/>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96"/>
      <c r="G406" s="2396"/>
      <c r="H406" s="2396"/>
      <c r="I406" s="2396"/>
      <c r="J406" s="2396"/>
      <c r="K406" s="2396"/>
      <c r="L406" s="2396"/>
      <c r="M406" s="2396"/>
      <c r="N406" s="2396"/>
      <c r="O406" s="2396"/>
      <c r="P406" s="2396"/>
      <c r="Q406" s="2396"/>
      <c r="R406" s="2396"/>
      <c r="S406" s="2396"/>
      <c r="T406" s="2396"/>
      <c r="U406" s="2396"/>
      <c r="V406" s="2396"/>
      <c r="W406" s="2396"/>
      <c r="X406" s="2396"/>
      <c r="Y406" s="2396"/>
      <c r="Z406" s="2396"/>
      <c r="AA406" s="2396"/>
      <c r="AB406" s="2396"/>
      <c r="AC406" s="2396"/>
      <c r="AD406" s="2396"/>
      <c r="AE406" s="2396"/>
      <c r="AF406" s="2396"/>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96"/>
      <c r="G407" s="2396"/>
      <c r="H407" s="2396"/>
      <c r="I407" s="2396"/>
      <c r="J407" s="2396"/>
      <c r="K407" s="2396"/>
      <c r="L407" s="2396"/>
      <c r="M407" s="2396"/>
      <c r="N407" s="2396"/>
      <c r="O407" s="2396"/>
      <c r="P407" s="2396"/>
      <c r="Q407" s="2396"/>
      <c r="R407" s="2396"/>
      <c r="S407" s="2396"/>
      <c r="T407" s="2396"/>
      <c r="U407" s="2396"/>
      <c r="V407" s="2396"/>
      <c r="W407" s="2396"/>
      <c r="X407" s="2396"/>
      <c r="Y407" s="2396"/>
      <c r="Z407" s="2396"/>
      <c r="AA407" s="2396"/>
      <c r="AB407" s="2396"/>
      <c r="AC407" s="2396"/>
      <c r="AD407" s="2396"/>
      <c r="AE407" s="2396"/>
      <c r="AF407" s="2396"/>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96"/>
      <c r="G408" s="2396"/>
      <c r="H408" s="2396"/>
      <c r="I408" s="2396"/>
      <c r="J408" s="2396"/>
      <c r="K408" s="2396"/>
      <c r="L408" s="2396"/>
      <c r="M408" s="2396"/>
      <c r="N408" s="2396"/>
      <c r="O408" s="2396"/>
      <c r="P408" s="2396"/>
      <c r="Q408" s="2396"/>
      <c r="R408" s="2396"/>
      <c r="S408" s="2396"/>
      <c r="T408" s="2396"/>
      <c r="U408" s="2396"/>
      <c r="V408" s="2396"/>
      <c r="W408" s="2396"/>
      <c r="X408" s="2396"/>
      <c r="Y408" s="2396"/>
      <c r="Z408" s="2396"/>
      <c r="AA408" s="2396"/>
      <c r="AB408" s="2396"/>
      <c r="AC408" s="2396"/>
      <c r="AD408" s="2396"/>
      <c r="AE408" s="2396"/>
      <c r="AF408" s="2396"/>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96"/>
      <c r="G409" s="2396"/>
      <c r="H409" s="2396"/>
      <c r="I409" s="2396"/>
      <c r="J409" s="2396"/>
      <c r="K409" s="2396"/>
      <c r="L409" s="2396"/>
      <c r="M409" s="2396"/>
      <c r="N409" s="2396"/>
      <c r="O409" s="2396"/>
      <c r="P409" s="2396"/>
      <c r="Q409" s="2396"/>
      <c r="R409" s="2396"/>
      <c r="S409" s="2396"/>
      <c r="T409" s="2396"/>
      <c r="U409" s="2396"/>
      <c r="V409" s="2396"/>
      <c r="W409" s="2396"/>
      <c r="X409" s="2396"/>
      <c r="Y409" s="2396"/>
      <c r="Z409" s="2396"/>
      <c r="AA409" s="2396"/>
      <c r="AB409" s="2396"/>
      <c r="AC409" s="2396"/>
      <c r="AD409" s="2396"/>
      <c r="AE409" s="2396"/>
      <c r="AF409" s="2396"/>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20" t="s">
        <v>544</v>
      </c>
      <c r="D410" s="2480"/>
      <c r="E410" s="687"/>
      <c r="F410" s="717" t="s">
        <v>1456</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21" t="s">
        <v>1457</v>
      </c>
      <c r="AG410" s="2521"/>
      <c r="AH410" s="2521"/>
      <c r="AI410" s="2521"/>
      <c r="AJ410" s="2521"/>
      <c r="AK410" s="2521"/>
      <c r="AL410" s="2522"/>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20" t="s">
        <v>590</v>
      </c>
      <c r="D412" s="2480"/>
      <c r="E412" s="687"/>
      <c r="F412" s="734" t="s">
        <v>1458</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21" t="s">
        <v>1452</v>
      </c>
      <c r="AG412" s="2521"/>
      <c r="AH412" s="2521"/>
      <c r="AI412" s="2521"/>
      <c r="AJ412" s="2521"/>
      <c r="AK412" s="2521"/>
      <c r="AL412" s="2522"/>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1459</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1460</v>
      </c>
      <c r="F416" s="2523" t="s">
        <v>1461</v>
      </c>
      <c r="G416" s="2523"/>
      <c r="H416" s="2523"/>
      <c r="I416" s="2523"/>
      <c r="J416" s="2523"/>
      <c r="K416" s="2523"/>
      <c r="L416" s="2523"/>
      <c r="M416" s="2523"/>
      <c r="N416" s="2523"/>
      <c r="O416" s="2523"/>
      <c r="P416" s="2523"/>
      <c r="Q416" s="2523"/>
      <c r="R416" s="2523"/>
      <c r="S416" s="2523"/>
      <c r="T416" s="2523"/>
      <c r="U416" s="2523"/>
      <c r="V416" s="2523"/>
      <c r="W416" s="2523"/>
      <c r="X416" s="2523"/>
      <c r="Y416" s="2523"/>
      <c r="Z416" s="2523"/>
      <c r="AA416" s="2523"/>
      <c r="AB416" s="2523"/>
      <c r="AC416" s="2523"/>
      <c r="AD416" s="2523"/>
      <c r="AE416" s="2523"/>
      <c r="AF416" s="2523"/>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96"/>
      <c r="G417" s="2396"/>
      <c r="H417" s="2396"/>
      <c r="I417" s="2396"/>
      <c r="J417" s="2396"/>
      <c r="K417" s="2396"/>
      <c r="L417" s="2396"/>
      <c r="M417" s="2396"/>
      <c r="N417" s="2396"/>
      <c r="O417" s="2396"/>
      <c r="P417" s="2396"/>
      <c r="Q417" s="2396"/>
      <c r="R417" s="2396"/>
      <c r="S417" s="2396"/>
      <c r="T417" s="2396"/>
      <c r="U417" s="2396"/>
      <c r="V417" s="2396"/>
      <c r="W417" s="2396"/>
      <c r="X417" s="2396"/>
      <c r="Y417" s="2396"/>
      <c r="Z417" s="2396"/>
      <c r="AA417" s="2396"/>
      <c r="AB417" s="2396"/>
      <c r="AC417" s="2396"/>
      <c r="AD417" s="2396"/>
      <c r="AE417" s="2396"/>
      <c r="AF417" s="2396"/>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96"/>
      <c r="G418" s="2396"/>
      <c r="H418" s="2396"/>
      <c r="I418" s="2396"/>
      <c r="J418" s="2396"/>
      <c r="K418" s="2396"/>
      <c r="L418" s="2396"/>
      <c r="M418" s="2396"/>
      <c r="N418" s="2396"/>
      <c r="O418" s="2396"/>
      <c r="P418" s="2396"/>
      <c r="Q418" s="2396"/>
      <c r="R418" s="2396"/>
      <c r="S418" s="2396"/>
      <c r="T418" s="2396"/>
      <c r="U418" s="2396"/>
      <c r="V418" s="2396"/>
      <c r="W418" s="2396"/>
      <c r="X418" s="2396"/>
      <c r="Y418" s="2396"/>
      <c r="Z418" s="2396"/>
      <c r="AA418" s="2396"/>
      <c r="AB418" s="2396"/>
      <c r="AC418" s="2396"/>
      <c r="AD418" s="2396"/>
      <c r="AE418" s="2396"/>
      <c r="AF418" s="2396"/>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96"/>
      <c r="G419" s="2396"/>
      <c r="H419" s="2396"/>
      <c r="I419" s="2396"/>
      <c r="J419" s="2396"/>
      <c r="K419" s="2396"/>
      <c r="L419" s="2396"/>
      <c r="M419" s="2396"/>
      <c r="N419" s="2396"/>
      <c r="O419" s="2396"/>
      <c r="P419" s="2396"/>
      <c r="Q419" s="2396"/>
      <c r="R419" s="2396"/>
      <c r="S419" s="2396"/>
      <c r="T419" s="2396"/>
      <c r="U419" s="2396"/>
      <c r="V419" s="2396"/>
      <c r="W419" s="2396"/>
      <c r="X419" s="2396"/>
      <c r="Y419" s="2396"/>
      <c r="Z419" s="2396"/>
      <c r="AA419" s="2396"/>
      <c r="AB419" s="2396"/>
      <c r="AC419" s="2396"/>
      <c r="AD419" s="2396"/>
      <c r="AE419" s="2396"/>
      <c r="AF419" s="2396"/>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20" t="s">
        <v>590</v>
      </c>
      <c r="D420" s="2480"/>
      <c r="E420" s="687"/>
      <c r="F420" s="717" t="s">
        <v>1462</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21" t="s">
        <v>1452</v>
      </c>
      <c r="AG420" s="2521"/>
      <c r="AH420" s="2521"/>
      <c r="AI420" s="2521"/>
      <c r="AJ420" s="2521"/>
      <c r="AK420" s="2521"/>
      <c r="AL420" s="2522"/>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20" t="s">
        <v>544</v>
      </c>
      <c r="D422" s="2480"/>
      <c r="E422" s="715"/>
      <c r="F422" s="717" t="s">
        <v>1463</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21" t="s">
        <v>1464</v>
      </c>
      <c r="AG422" s="2521"/>
      <c r="AH422" s="2521"/>
      <c r="AI422" s="2521"/>
      <c r="AJ422" s="2521"/>
      <c r="AK422" s="2521"/>
      <c r="AL422" s="2522"/>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20" t="s">
        <v>590</v>
      </c>
      <c r="D425" s="2480"/>
      <c r="E425" s="711" t="s">
        <v>1465</v>
      </c>
      <c r="F425" s="2523" t="s">
        <v>1466</v>
      </c>
      <c r="G425" s="2523"/>
      <c r="H425" s="2523"/>
      <c r="I425" s="2523"/>
      <c r="J425" s="2523"/>
      <c r="K425" s="2523"/>
      <c r="L425" s="2523"/>
      <c r="M425" s="2523"/>
      <c r="N425" s="2523"/>
      <c r="O425" s="2523"/>
      <c r="P425" s="2523"/>
      <c r="Q425" s="2523"/>
      <c r="R425" s="2523"/>
      <c r="S425" s="2523"/>
      <c r="T425" s="2523"/>
      <c r="U425" s="2523"/>
      <c r="V425" s="2523"/>
      <c r="W425" s="2523"/>
      <c r="X425" s="2523"/>
      <c r="Y425" s="2523"/>
      <c r="Z425" s="2523"/>
      <c r="AA425" s="2523"/>
      <c r="AB425" s="2523"/>
      <c r="AC425" s="2523"/>
      <c r="AD425" s="2523"/>
      <c r="AE425" s="2523"/>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96"/>
      <c r="G426" s="2396"/>
      <c r="H426" s="2396"/>
      <c r="I426" s="2396"/>
      <c r="J426" s="2396"/>
      <c r="K426" s="2396"/>
      <c r="L426" s="2396"/>
      <c r="M426" s="2396"/>
      <c r="N426" s="2396"/>
      <c r="O426" s="2396"/>
      <c r="P426" s="2396"/>
      <c r="Q426" s="2396"/>
      <c r="R426" s="2396"/>
      <c r="S426" s="2396"/>
      <c r="T426" s="2396"/>
      <c r="U426" s="2396"/>
      <c r="V426" s="2396"/>
      <c r="W426" s="2396"/>
      <c r="X426" s="2396"/>
      <c r="Y426" s="2396"/>
      <c r="Z426" s="2396"/>
      <c r="AA426" s="2396"/>
      <c r="AB426" s="2396"/>
      <c r="AC426" s="2396"/>
      <c r="AD426" s="2396"/>
      <c r="AE426" s="2396"/>
      <c r="AF426" s="2458" t="s">
        <v>1452</v>
      </c>
      <c r="AG426" s="2458"/>
      <c r="AH426" s="2458"/>
      <c r="AI426" s="2458"/>
      <c r="AJ426" s="2458"/>
      <c r="AK426" s="2458"/>
      <c r="AL426" s="2524"/>
      <c r="AM426" s="568"/>
      <c r="AN426" s="595"/>
      <c r="BS426" s="568"/>
      <c r="BT426" s="568"/>
      <c r="BY426" s="568"/>
      <c r="BZ426" s="568"/>
      <c r="CA426" s="568"/>
      <c r="CB426" s="568"/>
      <c r="CC426" s="568"/>
    </row>
    <row r="427" spans="1:81" s="549" customFormat="1" ht="12.75" customHeight="1">
      <c r="A427" s="536"/>
      <c r="B427" s="14"/>
      <c r="C427" s="727"/>
      <c r="D427" s="14"/>
      <c r="E427" s="687"/>
      <c r="F427" s="2396"/>
      <c r="G427" s="2396"/>
      <c r="H427" s="2396"/>
      <c r="I427" s="2396"/>
      <c r="J427" s="2396"/>
      <c r="K427" s="2396"/>
      <c r="L427" s="2396"/>
      <c r="M427" s="2396"/>
      <c r="N427" s="2396"/>
      <c r="O427" s="2396"/>
      <c r="P427" s="2396"/>
      <c r="Q427" s="2396"/>
      <c r="R427" s="2396"/>
      <c r="S427" s="2396"/>
      <c r="T427" s="2396"/>
      <c r="U427" s="2396"/>
      <c r="V427" s="2396"/>
      <c r="W427" s="2396"/>
      <c r="X427" s="2396"/>
      <c r="Y427" s="2396"/>
      <c r="Z427" s="2396"/>
      <c r="AA427" s="2396"/>
      <c r="AB427" s="2396"/>
      <c r="AC427" s="2396"/>
      <c r="AD427" s="2396"/>
      <c r="AE427" s="2396"/>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52"/>
      <c r="G428" s="2552"/>
      <c r="H428" s="2552"/>
      <c r="I428" s="2552"/>
      <c r="J428" s="2552"/>
      <c r="K428" s="2552"/>
      <c r="L428" s="2552"/>
      <c r="M428" s="2552"/>
      <c r="N428" s="2552"/>
      <c r="O428" s="2552"/>
      <c r="P428" s="2552"/>
      <c r="Q428" s="2552"/>
      <c r="R428" s="2552"/>
      <c r="S428" s="2552"/>
      <c r="T428" s="2552"/>
      <c r="U428" s="2552"/>
      <c r="V428" s="2552"/>
      <c r="W428" s="2552"/>
      <c r="X428" s="2552"/>
      <c r="Y428" s="2552"/>
      <c r="Z428" s="2552"/>
      <c r="AA428" s="2552"/>
      <c r="AB428" s="2552"/>
      <c r="AC428" s="2552"/>
      <c r="AD428" s="2552"/>
      <c r="AE428" s="2552"/>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1467</v>
      </c>
      <c r="F430" s="2523" t="s">
        <v>1468</v>
      </c>
      <c r="G430" s="2523"/>
      <c r="H430" s="2523"/>
      <c r="I430" s="2523"/>
      <c r="J430" s="2523"/>
      <c r="K430" s="2523"/>
      <c r="L430" s="2523"/>
      <c r="M430" s="2523"/>
      <c r="N430" s="2523"/>
      <c r="O430" s="2523"/>
      <c r="P430" s="2523"/>
      <c r="Q430" s="2523"/>
      <c r="R430" s="2523"/>
      <c r="S430" s="2523"/>
      <c r="T430" s="2523"/>
      <c r="U430" s="2523"/>
      <c r="V430" s="2523"/>
      <c r="W430" s="2523"/>
      <c r="X430" s="2523"/>
      <c r="Y430" s="2523"/>
      <c r="Z430" s="2523"/>
      <c r="AA430" s="2523"/>
      <c r="AB430" s="2523"/>
      <c r="AC430" s="2523"/>
      <c r="AD430" s="2523"/>
      <c r="AE430" s="2523"/>
      <c r="AF430" s="743"/>
      <c r="AG430" s="743"/>
      <c r="AH430" s="743"/>
      <c r="AI430" s="743"/>
      <c r="AJ430" s="743"/>
      <c r="AK430" s="743"/>
      <c r="AL430" s="744"/>
      <c r="AM430" s="568"/>
    </row>
    <row r="431" spans="1:81">
      <c r="A431" s="536"/>
      <c r="C431" s="727"/>
      <c r="E431" s="687"/>
      <c r="F431" s="2396"/>
      <c r="G431" s="2396"/>
      <c r="H431" s="2396"/>
      <c r="I431" s="2396"/>
      <c r="J431" s="2396"/>
      <c r="K431" s="2396"/>
      <c r="L431" s="2396"/>
      <c r="M431" s="2396"/>
      <c r="N431" s="2396"/>
      <c r="O431" s="2396"/>
      <c r="P431" s="2396"/>
      <c r="Q431" s="2396"/>
      <c r="R431" s="2396"/>
      <c r="S431" s="2396"/>
      <c r="T431" s="2396"/>
      <c r="U431" s="2396"/>
      <c r="V431" s="2396"/>
      <c r="W431" s="2396"/>
      <c r="X431" s="2396"/>
      <c r="Y431" s="2396"/>
      <c r="Z431" s="2396"/>
      <c r="AA431" s="2396"/>
      <c r="AB431" s="2396"/>
      <c r="AC431" s="2396"/>
      <c r="AD431" s="2396"/>
      <c r="AE431" s="2396"/>
      <c r="AF431" s="539"/>
      <c r="AG431" s="536"/>
      <c r="AH431" s="549"/>
      <c r="AI431" s="549"/>
      <c r="AJ431" s="549"/>
      <c r="AK431" s="549"/>
      <c r="AL431" s="728"/>
      <c r="AM431" s="568"/>
    </row>
    <row r="432" spans="1:81" s="549" customFormat="1" ht="12.75" customHeight="1">
      <c r="A432" s="536"/>
      <c r="B432" s="14"/>
      <c r="C432" s="727"/>
      <c r="D432" s="14"/>
      <c r="E432" s="687"/>
      <c r="F432" s="2396"/>
      <c r="G432" s="2396"/>
      <c r="H432" s="2396"/>
      <c r="I432" s="2396"/>
      <c r="J432" s="2396"/>
      <c r="K432" s="2396"/>
      <c r="L432" s="2396"/>
      <c r="M432" s="2396"/>
      <c r="N432" s="2396"/>
      <c r="O432" s="2396"/>
      <c r="P432" s="2396"/>
      <c r="Q432" s="2396"/>
      <c r="R432" s="2396"/>
      <c r="S432" s="2396"/>
      <c r="T432" s="2396"/>
      <c r="U432" s="2396"/>
      <c r="V432" s="2396"/>
      <c r="W432" s="2396"/>
      <c r="X432" s="2396"/>
      <c r="Y432" s="2396"/>
      <c r="Z432" s="2396"/>
      <c r="AA432" s="2396"/>
      <c r="AB432" s="2396"/>
      <c r="AC432" s="2396"/>
      <c r="AD432" s="2396"/>
      <c r="AE432" s="2396"/>
      <c r="AL432" s="728"/>
      <c r="AM432" s="568"/>
      <c r="AN432" s="595"/>
    </row>
    <row r="433" spans="1:60" s="549" customFormat="1" ht="12.75" customHeight="1">
      <c r="A433" s="536"/>
      <c r="B433" s="14"/>
      <c r="C433" s="735"/>
      <c r="F433" s="2396"/>
      <c r="G433" s="2396"/>
      <c r="H433" s="2396"/>
      <c r="I433" s="2396"/>
      <c r="J433" s="2396"/>
      <c r="K433" s="2396"/>
      <c r="L433" s="2396"/>
      <c r="M433" s="2396"/>
      <c r="N433" s="2396"/>
      <c r="O433" s="2396"/>
      <c r="P433" s="2396"/>
      <c r="Q433" s="2396"/>
      <c r="R433" s="2396"/>
      <c r="S433" s="2396"/>
      <c r="T433" s="2396"/>
      <c r="U433" s="2396"/>
      <c r="V433" s="2396"/>
      <c r="W433" s="2396"/>
      <c r="X433" s="2396"/>
      <c r="Y433" s="2396"/>
      <c r="Z433" s="2396"/>
      <c r="AA433" s="2396"/>
      <c r="AB433" s="2396"/>
      <c r="AC433" s="2396"/>
      <c r="AD433" s="2396"/>
      <c r="AE433" s="2396"/>
      <c r="AL433" s="728"/>
      <c r="AM433" s="568"/>
      <c r="AN433" s="595"/>
    </row>
    <row r="434" spans="1:60" s="549" customFormat="1" ht="12.75" customHeight="1">
      <c r="A434" s="536"/>
      <c r="B434" s="14"/>
      <c r="C434" s="2520" t="s">
        <v>590</v>
      </c>
      <c r="D434" s="2480"/>
      <c r="E434" s="687"/>
      <c r="F434" s="717" t="s">
        <v>1469</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58" t="s">
        <v>1452</v>
      </c>
      <c r="AG434" s="2458"/>
      <c r="AH434" s="2458"/>
      <c r="AI434" s="2458"/>
      <c r="AJ434" s="2458"/>
      <c r="AK434" s="2458"/>
      <c r="AL434" s="2524"/>
      <c r="AM434" s="568"/>
      <c r="AN434" s="595"/>
    </row>
    <row r="435" spans="1:60" s="549" customFormat="1" ht="12.75" customHeight="1">
      <c r="A435" s="536"/>
      <c r="B435" s="14"/>
      <c r="C435" s="735"/>
      <c r="AL435" s="728"/>
      <c r="AM435" s="568"/>
      <c r="AN435" s="595"/>
    </row>
    <row r="436" spans="1:60" s="549" customFormat="1" ht="12.75" customHeight="1">
      <c r="A436" s="536"/>
      <c r="B436" s="14"/>
      <c r="C436" s="2520" t="s">
        <v>590</v>
      </c>
      <c r="D436" s="2480"/>
      <c r="E436" s="715"/>
      <c r="F436" s="717" t="s">
        <v>1470</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58" t="s">
        <v>1464</v>
      </c>
      <c r="AG436" s="2458"/>
      <c r="AH436" s="2458"/>
      <c r="AI436" s="2458"/>
      <c r="AJ436" s="2458"/>
      <c r="AK436" s="2458"/>
      <c r="AL436" s="2524"/>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2162</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1471</v>
      </c>
      <c r="F440" s="2523" t="s">
        <v>1472</v>
      </c>
      <c r="G440" s="2523"/>
      <c r="H440" s="2523"/>
      <c r="I440" s="2523"/>
      <c r="J440" s="2523"/>
      <c r="K440" s="2523"/>
      <c r="L440" s="2523"/>
      <c r="M440" s="2523"/>
      <c r="N440" s="2523"/>
      <c r="O440" s="2523"/>
      <c r="P440" s="2523"/>
      <c r="Q440" s="2523"/>
      <c r="R440" s="2523"/>
      <c r="S440" s="2523"/>
      <c r="T440" s="2523"/>
      <c r="U440" s="2523"/>
      <c r="V440" s="2523"/>
      <c r="W440" s="2523"/>
      <c r="X440" s="2523"/>
      <c r="Y440" s="2523"/>
      <c r="Z440" s="2523"/>
      <c r="AA440" s="2523"/>
      <c r="AB440" s="2523"/>
      <c r="AC440" s="2523"/>
      <c r="AD440" s="2523"/>
      <c r="AE440" s="2523"/>
      <c r="AF440" s="710"/>
      <c r="AG440" s="710"/>
      <c r="AH440" s="710"/>
      <c r="AI440" s="710"/>
      <c r="AJ440" s="710"/>
      <c r="AK440" s="710"/>
      <c r="AL440" s="741"/>
      <c r="AM440" s="568"/>
      <c r="AN440" s="595"/>
    </row>
    <row r="441" spans="1:60" s="549" customFormat="1" ht="12.75" customHeight="1">
      <c r="A441" s="536"/>
      <c r="B441" s="14"/>
      <c r="C441" s="727"/>
      <c r="D441" s="14"/>
      <c r="E441" s="687"/>
      <c r="F441" s="2396"/>
      <c r="G441" s="2396"/>
      <c r="H441" s="2396"/>
      <c r="I441" s="2396"/>
      <c r="J441" s="2396"/>
      <c r="K441" s="2396"/>
      <c r="L441" s="2396"/>
      <c r="M441" s="2396"/>
      <c r="N441" s="2396"/>
      <c r="O441" s="2396"/>
      <c r="P441" s="2396"/>
      <c r="Q441" s="2396"/>
      <c r="R441" s="2396"/>
      <c r="S441" s="2396"/>
      <c r="T441" s="2396"/>
      <c r="U441" s="2396"/>
      <c r="V441" s="2396"/>
      <c r="W441" s="2396"/>
      <c r="X441" s="2396"/>
      <c r="Y441" s="2396"/>
      <c r="Z441" s="2396"/>
      <c r="AA441" s="2396"/>
      <c r="AB441" s="2396"/>
      <c r="AC441" s="2396"/>
      <c r="AD441" s="2396"/>
      <c r="AE441" s="2396"/>
      <c r="AF441" s="539"/>
      <c r="AG441" s="536"/>
      <c r="AL441" s="728"/>
      <c r="AM441" s="568"/>
      <c r="AN441" s="595"/>
    </row>
    <row r="442" spans="1:60" s="549" customFormat="1" ht="12.4" customHeight="1">
      <c r="A442" s="536"/>
      <c r="B442" s="14"/>
      <c r="C442" s="727"/>
      <c r="D442" s="14"/>
      <c r="E442" s="687"/>
      <c r="F442" s="2396"/>
      <c r="G442" s="2396"/>
      <c r="H442" s="2396"/>
      <c r="I442" s="2396"/>
      <c r="J442" s="2396"/>
      <c r="K442" s="2396"/>
      <c r="L442" s="2396"/>
      <c r="M442" s="2396"/>
      <c r="N442" s="2396"/>
      <c r="O442" s="2396"/>
      <c r="P442" s="2396"/>
      <c r="Q442" s="2396"/>
      <c r="R442" s="2396"/>
      <c r="S442" s="2396"/>
      <c r="T442" s="2396"/>
      <c r="U442" s="2396"/>
      <c r="V442" s="2396"/>
      <c r="W442" s="2396"/>
      <c r="X442" s="2396"/>
      <c r="Y442" s="2396"/>
      <c r="Z442" s="2396"/>
      <c r="AA442" s="2396"/>
      <c r="AB442" s="2396"/>
      <c r="AC442" s="2396"/>
      <c r="AD442" s="2396"/>
      <c r="AE442" s="2396"/>
      <c r="AL442" s="728"/>
      <c r="AM442" s="568"/>
      <c r="AN442" s="595"/>
    </row>
    <row r="443" spans="1:60" s="549" customFormat="1" ht="12.75" customHeight="1">
      <c r="A443" s="536"/>
      <c r="B443" s="14"/>
      <c r="C443" s="2520" t="s">
        <v>590</v>
      </c>
      <c r="D443" s="2480"/>
      <c r="E443" s="687"/>
      <c r="F443" s="717" t="s">
        <v>1473</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58" t="s">
        <v>1452</v>
      </c>
      <c r="AG443" s="2458"/>
      <c r="AH443" s="2458"/>
      <c r="AI443" s="2458"/>
      <c r="AJ443" s="2458"/>
      <c r="AK443" s="2458"/>
      <c r="AL443" s="2524"/>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1474</v>
      </c>
      <c r="F446" s="2523" t="s">
        <v>1475</v>
      </c>
      <c r="G446" s="2523"/>
      <c r="H446" s="2523"/>
      <c r="I446" s="2523"/>
      <c r="J446" s="2523"/>
      <c r="K446" s="2523"/>
      <c r="L446" s="2523"/>
      <c r="M446" s="2523"/>
      <c r="N446" s="2523"/>
      <c r="O446" s="2523"/>
      <c r="P446" s="2523"/>
      <c r="Q446" s="2523"/>
      <c r="R446" s="2523"/>
      <c r="S446" s="2523"/>
      <c r="T446" s="2523"/>
      <c r="U446" s="2523"/>
      <c r="V446" s="2523"/>
      <c r="W446" s="2523"/>
      <c r="X446" s="2523"/>
      <c r="Y446" s="2523"/>
      <c r="Z446" s="2523"/>
      <c r="AA446" s="2523"/>
      <c r="AB446" s="2523"/>
      <c r="AC446" s="2523"/>
      <c r="AD446" s="2523"/>
      <c r="AE446" s="2523"/>
      <c r="AF446" s="743"/>
      <c r="AG446" s="743"/>
      <c r="AH446" s="743"/>
      <c r="AI446" s="743"/>
      <c r="AJ446" s="743"/>
      <c r="AK446" s="743"/>
      <c r="AL446" s="744"/>
      <c r="AM446" s="568"/>
      <c r="AO446" s="549"/>
      <c r="AP446" s="549"/>
      <c r="BD446" s="14"/>
      <c r="BE446" s="14"/>
      <c r="BF446" s="14"/>
      <c r="BG446" s="14"/>
      <c r="BH446" s="14"/>
    </row>
    <row r="447" spans="1:60">
      <c r="A447" s="536"/>
      <c r="C447" s="727"/>
      <c r="E447" s="687"/>
      <c r="F447" s="2396"/>
      <c r="G447" s="2396"/>
      <c r="H447" s="2396"/>
      <c r="I447" s="2396"/>
      <c r="J447" s="2396"/>
      <c r="K447" s="2396"/>
      <c r="L447" s="2396"/>
      <c r="M447" s="2396"/>
      <c r="N447" s="2396"/>
      <c r="O447" s="2396"/>
      <c r="P447" s="2396"/>
      <c r="Q447" s="2396"/>
      <c r="R447" s="2396"/>
      <c r="S447" s="2396"/>
      <c r="T447" s="2396"/>
      <c r="U447" s="2396"/>
      <c r="V447" s="2396"/>
      <c r="W447" s="2396"/>
      <c r="X447" s="2396"/>
      <c r="Y447" s="2396"/>
      <c r="Z447" s="2396"/>
      <c r="AA447" s="2396"/>
      <c r="AB447" s="2396"/>
      <c r="AC447" s="2396"/>
      <c r="AD447" s="2396"/>
      <c r="AE447" s="2396"/>
      <c r="AF447" s="592"/>
      <c r="AG447" s="592"/>
      <c r="AH447" s="592"/>
      <c r="AI447" s="592"/>
      <c r="AJ447" s="592"/>
      <c r="AK447" s="592"/>
      <c r="AL447" s="746"/>
      <c r="AM447" s="568"/>
      <c r="AO447" s="549"/>
      <c r="AP447" s="549"/>
    </row>
    <row r="448" spans="1:60" s="549" customFormat="1" ht="12.75" customHeight="1">
      <c r="A448" s="536"/>
      <c r="B448" s="14"/>
      <c r="C448" s="727"/>
      <c r="D448" s="14"/>
      <c r="E448" s="687"/>
      <c r="F448" s="2396"/>
      <c r="G448" s="2396"/>
      <c r="H448" s="2396"/>
      <c r="I448" s="2396"/>
      <c r="J448" s="2396"/>
      <c r="K448" s="2396"/>
      <c r="L448" s="2396"/>
      <c r="M448" s="2396"/>
      <c r="N448" s="2396"/>
      <c r="O448" s="2396"/>
      <c r="P448" s="2396"/>
      <c r="Q448" s="2396"/>
      <c r="R448" s="2396"/>
      <c r="S448" s="2396"/>
      <c r="T448" s="2396"/>
      <c r="U448" s="2396"/>
      <c r="V448" s="2396"/>
      <c r="W448" s="2396"/>
      <c r="X448" s="2396"/>
      <c r="Y448" s="2396"/>
      <c r="Z448" s="2396"/>
      <c r="AA448" s="2396"/>
      <c r="AB448" s="2396"/>
      <c r="AC448" s="2396"/>
      <c r="AD448" s="2396"/>
      <c r="AE448" s="2396"/>
      <c r="AF448" s="592"/>
      <c r="AG448" s="592"/>
      <c r="AH448" s="592"/>
      <c r="AI448" s="592"/>
      <c r="AJ448" s="592"/>
      <c r="AK448" s="592"/>
      <c r="AL448" s="746"/>
      <c r="AM448" s="568"/>
      <c r="AN448" s="595"/>
    </row>
    <row r="449" spans="1:42" s="549" customFormat="1" ht="12.75" customHeight="1">
      <c r="A449" s="536"/>
      <c r="B449" s="14"/>
      <c r="C449" s="747"/>
      <c r="D449" s="726"/>
      <c r="E449" s="715"/>
      <c r="F449" s="2396"/>
      <c r="G449" s="2396"/>
      <c r="H449" s="2396"/>
      <c r="I449" s="2396"/>
      <c r="J449" s="2396"/>
      <c r="K449" s="2396"/>
      <c r="L449" s="2396"/>
      <c r="M449" s="2396"/>
      <c r="N449" s="2396"/>
      <c r="O449" s="2396"/>
      <c r="P449" s="2396"/>
      <c r="Q449" s="2396"/>
      <c r="R449" s="2396"/>
      <c r="S449" s="2396"/>
      <c r="T449" s="2396"/>
      <c r="U449" s="2396"/>
      <c r="V449" s="2396"/>
      <c r="W449" s="2396"/>
      <c r="X449" s="2396"/>
      <c r="Y449" s="2396"/>
      <c r="Z449" s="2396"/>
      <c r="AA449" s="2396"/>
      <c r="AB449" s="2396"/>
      <c r="AC449" s="2396"/>
      <c r="AD449" s="2396"/>
      <c r="AE449" s="2396"/>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96"/>
      <c r="G450" s="2396"/>
      <c r="H450" s="2396"/>
      <c r="I450" s="2396"/>
      <c r="J450" s="2396"/>
      <c r="K450" s="2396"/>
      <c r="L450" s="2396"/>
      <c r="M450" s="2396"/>
      <c r="N450" s="2396"/>
      <c r="O450" s="2396"/>
      <c r="P450" s="2396"/>
      <c r="Q450" s="2396"/>
      <c r="R450" s="2396"/>
      <c r="S450" s="2396"/>
      <c r="T450" s="2396"/>
      <c r="U450" s="2396"/>
      <c r="V450" s="2396"/>
      <c r="W450" s="2396"/>
      <c r="X450" s="2396"/>
      <c r="Y450" s="2396"/>
      <c r="Z450" s="2396"/>
      <c r="AA450" s="2396"/>
      <c r="AB450" s="2396"/>
      <c r="AC450" s="2396"/>
      <c r="AD450" s="2396"/>
      <c r="AE450" s="2396"/>
      <c r="AF450" s="592"/>
      <c r="AG450" s="592"/>
      <c r="AH450" s="592"/>
      <c r="AI450" s="592"/>
      <c r="AJ450" s="592"/>
      <c r="AK450" s="592"/>
      <c r="AL450" s="746"/>
      <c r="AM450" s="568"/>
      <c r="AN450" s="595"/>
    </row>
    <row r="451" spans="1:42" s="549" customFormat="1" ht="12.75" customHeight="1">
      <c r="A451" s="536"/>
      <c r="B451" s="14"/>
      <c r="C451" s="747"/>
      <c r="D451" s="726"/>
      <c r="E451" s="715"/>
      <c r="F451" s="2396"/>
      <c r="G451" s="2396"/>
      <c r="H451" s="2396"/>
      <c r="I451" s="2396"/>
      <c r="J451" s="2396"/>
      <c r="K451" s="2396"/>
      <c r="L451" s="2396"/>
      <c r="M451" s="2396"/>
      <c r="N451" s="2396"/>
      <c r="O451" s="2396"/>
      <c r="P451" s="2396"/>
      <c r="Q451" s="2396"/>
      <c r="R451" s="2396"/>
      <c r="S451" s="2396"/>
      <c r="T451" s="2396"/>
      <c r="U451" s="2396"/>
      <c r="V451" s="2396"/>
      <c r="W451" s="2396"/>
      <c r="X451" s="2396"/>
      <c r="Y451" s="2396"/>
      <c r="Z451" s="2396"/>
      <c r="AA451" s="2396"/>
      <c r="AB451" s="2396"/>
      <c r="AC451" s="2396"/>
      <c r="AD451" s="2396"/>
      <c r="AE451" s="2396"/>
      <c r="AF451" s="592"/>
      <c r="AG451" s="592"/>
      <c r="AH451" s="592"/>
      <c r="AI451" s="592"/>
      <c r="AJ451" s="592"/>
      <c r="AK451" s="592"/>
      <c r="AL451" s="746"/>
      <c r="AM451" s="568"/>
      <c r="AN451" s="595"/>
    </row>
    <row r="452" spans="1:42" s="549" customFormat="1" ht="12.75" customHeight="1">
      <c r="A452" s="536"/>
      <c r="B452" s="14"/>
      <c r="C452" s="747"/>
      <c r="D452" s="726"/>
      <c r="E452" s="715"/>
      <c r="F452" s="2396"/>
      <c r="G452" s="2396"/>
      <c r="H452" s="2396"/>
      <c r="I452" s="2396"/>
      <c r="J452" s="2396"/>
      <c r="K452" s="2396"/>
      <c r="L452" s="2396"/>
      <c r="M452" s="2396"/>
      <c r="N452" s="2396"/>
      <c r="O452" s="2396"/>
      <c r="P452" s="2396"/>
      <c r="Q452" s="2396"/>
      <c r="R452" s="2396"/>
      <c r="S452" s="2396"/>
      <c r="T452" s="2396"/>
      <c r="U452" s="2396"/>
      <c r="V452" s="2396"/>
      <c r="W452" s="2396"/>
      <c r="X452" s="2396"/>
      <c r="Y452" s="2396"/>
      <c r="Z452" s="2396"/>
      <c r="AA452" s="2396"/>
      <c r="AB452" s="2396"/>
      <c r="AC452" s="2396"/>
      <c r="AD452" s="2396"/>
      <c r="AE452" s="2396"/>
      <c r="AF452" s="592"/>
      <c r="AG452" s="592"/>
      <c r="AH452" s="592"/>
      <c r="AI452" s="592"/>
      <c r="AJ452" s="592"/>
      <c r="AK452" s="592"/>
      <c r="AL452" s="746"/>
      <c r="AM452" s="568"/>
      <c r="AN452" s="595"/>
    </row>
    <row r="453" spans="1:42" s="549" customFormat="1" ht="12.75" customHeight="1">
      <c r="A453" s="536"/>
      <c r="B453" s="14"/>
      <c r="C453" s="747"/>
      <c r="D453" s="726"/>
      <c r="E453" s="715"/>
      <c r="F453" s="2396"/>
      <c r="G453" s="2396"/>
      <c r="H453" s="2396"/>
      <c r="I453" s="2396"/>
      <c r="J453" s="2396"/>
      <c r="K453" s="2396"/>
      <c r="L453" s="2396"/>
      <c r="M453" s="2396"/>
      <c r="N453" s="2396"/>
      <c r="O453" s="2396"/>
      <c r="P453" s="2396"/>
      <c r="Q453" s="2396"/>
      <c r="R453" s="2396"/>
      <c r="S453" s="2396"/>
      <c r="T453" s="2396"/>
      <c r="U453" s="2396"/>
      <c r="V453" s="2396"/>
      <c r="W453" s="2396"/>
      <c r="X453" s="2396"/>
      <c r="Y453" s="2396"/>
      <c r="Z453" s="2396"/>
      <c r="AA453" s="2396"/>
      <c r="AB453" s="2396"/>
      <c r="AC453" s="2396"/>
      <c r="AD453" s="2396"/>
      <c r="AE453" s="2396"/>
      <c r="AF453" s="592"/>
      <c r="AG453" s="592"/>
      <c r="AH453" s="592"/>
      <c r="AI453" s="592"/>
      <c r="AJ453" s="592"/>
      <c r="AK453" s="592"/>
      <c r="AL453" s="746"/>
      <c r="AM453" s="568"/>
      <c r="AN453" s="595"/>
    </row>
    <row r="454" spans="1:42" s="549" customFormat="1" ht="17.25" customHeight="1">
      <c r="A454" s="536"/>
      <c r="B454" s="14"/>
      <c r="C454" s="747"/>
      <c r="D454" s="726"/>
      <c r="E454" s="715"/>
      <c r="F454" s="2396"/>
      <c r="G454" s="2396"/>
      <c r="H454" s="2396"/>
      <c r="I454" s="2396"/>
      <c r="J454" s="2396"/>
      <c r="K454" s="2396"/>
      <c r="L454" s="2396"/>
      <c r="M454" s="2396"/>
      <c r="N454" s="2396"/>
      <c r="O454" s="2396"/>
      <c r="P454" s="2396"/>
      <c r="Q454" s="2396"/>
      <c r="R454" s="2396"/>
      <c r="S454" s="2396"/>
      <c r="T454" s="2396"/>
      <c r="U454" s="2396"/>
      <c r="V454" s="2396"/>
      <c r="W454" s="2396"/>
      <c r="X454" s="2396"/>
      <c r="Y454" s="2396"/>
      <c r="Z454" s="2396"/>
      <c r="AA454" s="2396"/>
      <c r="AB454" s="2396"/>
      <c r="AC454" s="2396"/>
      <c r="AD454" s="2396"/>
      <c r="AE454" s="2396"/>
      <c r="AL454" s="728"/>
      <c r="AM454" s="568"/>
      <c r="AN454" s="595"/>
    </row>
    <row r="455" spans="1:42" s="549" customFormat="1" ht="12.75" customHeight="1">
      <c r="A455" s="536"/>
      <c r="B455" s="14"/>
      <c r="C455" s="2520" t="s">
        <v>590</v>
      </c>
      <c r="D455" s="2480"/>
      <c r="E455" s="715"/>
      <c r="F455" s="594" t="s">
        <v>1476</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58" t="s">
        <v>1452</v>
      </c>
      <c r="AG455" s="2458"/>
      <c r="AH455" s="2458"/>
      <c r="AI455" s="2458"/>
      <c r="AJ455" s="2458"/>
      <c r="AK455" s="2458"/>
      <c r="AL455" s="2524"/>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1477</v>
      </c>
      <c r="F458" s="2523" t="s">
        <v>1478</v>
      </c>
      <c r="G458" s="2523"/>
      <c r="H458" s="2523"/>
      <c r="I458" s="2523"/>
      <c r="J458" s="2523"/>
      <c r="K458" s="2523"/>
      <c r="L458" s="2523"/>
      <c r="M458" s="2523"/>
      <c r="N458" s="2523"/>
      <c r="O458" s="2523"/>
      <c r="P458" s="2523"/>
      <c r="Q458" s="2523"/>
      <c r="R458" s="2523"/>
      <c r="S458" s="2523"/>
      <c r="T458" s="2523"/>
      <c r="U458" s="2523"/>
      <c r="V458" s="2523"/>
      <c r="W458" s="2523"/>
      <c r="X458" s="2523"/>
      <c r="Y458" s="2523"/>
      <c r="Z458" s="2523"/>
      <c r="AA458" s="2523"/>
      <c r="AB458" s="2523"/>
      <c r="AC458" s="2523"/>
      <c r="AD458" s="2523"/>
      <c r="AE458" s="2523"/>
      <c r="AF458" s="710"/>
      <c r="AG458" s="710"/>
      <c r="AH458" s="710"/>
      <c r="AI458" s="710"/>
      <c r="AJ458" s="710"/>
      <c r="AK458" s="710"/>
      <c r="AL458" s="741"/>
      <c r="AM458" s="568"/>
      <c r="AN458" s="595"/>
    </row>
    <row r="459" spans="1:42" s="549" customFormat="1" ht="12.75" customHeight="1">
      <c r="A459" s="536"/>
      <c r="B459" s="14"/>
      <c r="C459" s="747"/>
      <c r="D459" s="726"/>
      <c r="E459" s="715"/>
      <c r="F459" s="2396"/>
      <c r="G459" s="2396"/>
      <c r="H459" s="2396"/>
      <c r="I459" s="2396"/>
      <c r="J459" s="2396"/>
      <c r="K459" s="2396"/>
      <c r="L459" s="2396"/>
      <c r="M459" s="2396"/>
      <c r="N459" s="2396"/>
      <c r="O459" s="2396"/>
      <c r="P459" s="2396"/>
      <c r="Q459" s="2396"/>
      <c r="R459" s="2396"/>
      <c r="S459" s="2396"/>
      <c r="T459" s="2396"/>
      <c r="U459" s="2396"/>
      <c r="V459" s="2396"/>
      <c r="W459" s="2396"/>
      <c r="X459" s="2396"/>
      <c r="Y459" s="2396"/>
      <c r="Z459" s="2396"/>
      <c r="AA459" s="2396"/>
      <c r="AB459" s="2396"/>
      <c r="AC459" s="2396"/>
      <c r="AD459" s="2396"/>
      <c r="AE459" s="2396"/>
      <c r="AF459" s="589"/>
      <c r="AG459" s="589"/>
      <c r="AH459" s="589"/>
      <c r="AI459" s="589"/>
      <c r="AJ459" s="589"/>
      <c r="AK459" s="589"/>
      <c r="AL459" s="716"/>
      <c r="AM459" s="568"/>
      <c r="AN459" s="595"/>
    </row>
    <row r="460" spans="1:42" s="549" customFormat="1" ht="12.75" customHeight="1">
      <c r="A460" s="536"/>
      <c r="B460" s="14"/>
      <c r="C460" s="747"/>
      <c r="D460" s="726"/>
      <c r="E460" s="715"/>
      <c r="F460" s="2396"/>
      <c r="G460" s="2396"/>
      <c r="H460" s="2396"/>
      <c r="I460" s="2396"/>
      <c r="J460" s="2396"/>
      <c r="K460" s="2396"/>
      <c r="L460" s="2396"/>
      <c r="M460" s="2396"/>
      <c r="N460" s="2396"/>
      <c r="O460" s="2396"/>
      <c r="P460" s="2396"/>
      <c r="Q460" s="2396"/>
      <c r="R460" s="2396"/>
      <c r="S460" s="2396"/>
      <c r="T460" s="2396"/>
      <c r="U460" s="2396"/>
      <c r="V460" s="2396"/>
      <c r="W460" s="2396"/>
      <c r="X460" s="2396"/>
      <c r="Y460" s="2396"/>
      <c r="Z460" s="2396"/>
      <c r="AA460" s="2396"/>
      <c r="AB460" s="2396"/>
      <c r="AC460" s="2396"/>
      <c r="AD460" s="2396"/>
      <c r="AE460" s="2396"/>
      <c r="AF460" s="589"/>
      <c r="AG460" s="589"/>
      <c r="AH460" s="589"/>
      <c r="AI460" s="589"/>
      <c r="AJ460" s="589"/>
      <c r="AK460" s="589"/>
      <c r="AL460" s="716"/>
      <c r="AM460" s="568"/>
      <c r="AN460" s="595"/>
    </row>
    <row r="461" spans="1:42" s="549" customFormat="1" ht="12.75" customHeight="1">
      <c r="A461" s="536"/>
      <c r="B461" s="14"/>
      <c r="C461" s="747"/>
      <c r="D461" s="726"/>
      <c r="E461" s="715"/>
      <c r="F461" s="2396"/>
      <c r="G461" s="2396"/>
      <c r="H461" s="2396"/>
      <c r="I461" s="2396"/>
      <c r="J461" s="2396"/>
      <c r="K461" s="2396"/>
      <c r="L461" s="2396"/>
      <c r="M461" s="2396"/>
      <c r="N461" s="2396"/>
      <c r="O461" s="2396"/>
      <c r="P461" s="2396"/>
      <c r="Q461" s="2396"/>
      <c r="R461" s="2396"/>
      <c r="S461" s="2396"/>
      <c r="T461" s="2396"/>
      <c r="U461" s="2396"/>
      <c r="V461" s="2396"/>
      <c r="W461" s="2396"/>
      <c r="X461" s="2396"/>
      <c r="Y461" s="2396"/>
      <c r="Z461" s="2396"/>
      <c r="AA461" s="2396"/>
      <c r="AB461" s="2396"/>
      <c r="AC461" s="2396"/>
      <c r="AD461" s="2396"/>
      <c r="AE461" s="2396"/>
      <c r="AL461" s="728"/>
      <c r="AM461" s="568"/>
      <c r="AN461" s="595"/>
    </row>
    <row r="462" spans="1:42" s="549" customFormat="1" ht="12.75" customHeight="1">
      <c r="A462" s="536"/>
      <c r="B462" s="14"/>
      <c r="C462" s="2520" t="s">
        <v>590</v>
      </c>
      <c r="D462" s="2480"/>
      <c r="E462" s="715"/>
      <c r="F462" s="717" t="s">
        <v>1482</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58" t="s">
        <v>1452</v>
      </c>
      <c r="AG462" s="2458"/>
      <c r="AH462" s="2458"/>
      <c r="AI462" s="2458"/>
      <c r="AJ462" s="2458"/>
      <c r="AK462" s="2458"/>
      <c r="AL462" s="2524"/>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1459</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25" t="s">
        <v>590</v>
      </c>
      <c r="D466" s="2526"/>
      <c r="E466" s="711" t="s">
        <v>1487</v>
      </c>
      <c r="F466" s="2523" t="s">
        <v>1488</v>
      </c>
      <c r="G466" s="2523"/>
      <c r="H466" s="2523"/>
      <c r="I466" s="2523"/>
      <c r="J466" s="2523"/>
      <c r="K466" s="2523"/>
      <c r="L466" s="2523"/>
      <c r="M466" s="2523"/>
      <c r="N466" s="2523"/>
      <c r="O466" s="2523"/>
      <c r="P466" s="2523"/>
      <c r="Q466" s="2523"/>
      <c r="R466" s="2523"/>
      <c r="S466" s="2523"/>
      <c r="T466" s="2523"/>
      <c r="U466" s="2523"/>
      <c r="V466" s="2523"/>
      <c r="W466" s="2523"/>
      <c r="X466" s="2523"/>
      <c r="Y466" s="2523"/>
      <c r="Z466" s="2523"/>
      <c r="AA466" s="2523"/>
      <c r="AB466" s="2523"/>
      <c r="AC466" s="2523"/>
      <c r="AD466" s="2523"/>
      <c r="AE466" s="2523"/>
      <c r="AF466" s="2608" t="s">
        <v>1452</v>
      </c>
      <c r="AG466" s="2608"/>
      <c r="AH466" s="2608"/>
      <c r="AI466" s="2608"/>
      <c r="AJ466" s="2608"/>
      <c r="AK466" s="2608"/>
      <c r="AL466" s="2609"/>
      <c r="AM466" s="568"/>
      <c r="AN466" s="749"/>
    </row>
    <row r="467" spans="1:40" s="549" customFormat="1" ht="12.75" customHeight="1">
      <c r="A467" s="536"/>
      <c r="B467" s="14"/>
      <c r="C467" s="747"/>
      <c r="D467" s="726"/>
      <c r="E467" s="715"/>
      <c r="F467" s="2396"/>
      <c r="G467" s="2396"/>
      <c r="H467" s="2396"/>
      <c r="I467" s="2396"/>
      <c r="J467" s="2396"/>
      <c r="K467" s="2396"/>
      <c r="L467" s="2396"/>
      <c r="M467" s="2396"/>
      <c r="N467" s="2396"/>
      <c r="O467" s="2396"/>
      <c r="P467" s="2396"/>
      <c r="Q467" s="2396"/>
      <c r="R467" s="2396"/>
      <c r="S467" s="2396"/>
      <c r="T467" s="2396"/>
      <c r="U467" s="2396"/>
      <c r="V467" s="2396"/>
      <c r="W467" s="2396"/>
      <c r="X467" s="2396"/>
      <c r="Y467" s="2396"/>
      <c r="Z467" s="2396"/>
      <c r="AA467" s="2396"/>
      <c r="AB467" s="2396"/>
      <c r="AC467" s="2396"/>
      <c r="AD467" s="2396"/>
      <c r="AE467" s="2396"/>
      <c r="AF467" s="589"/>
      <c r="AG467" s="589"/>
      <c r="AH467" s="589"/>
      <c r="AI467" s="589"/>
      <c r="AJ467" s="589"/>
      <c r="AK467" s="589"/>
      <c r="AL467" s="716"/>
      <c r="AM467" s="568"/>
      <c r="AN467" s="750"/>
    </row>
    <row r="468" spans="1:40" s="549" customFormat="1" ht="17.649999999999999" customHeight="1">
      <c r="A468" s="536"/>
      <c r="B468" s="14"/>
      <c r="C468" s="752"/>
      <c r="D468" s="719"/>
      <c r="E468" s="720"/>
      <c r="F468" s="2552"/>
      <c r="G468" s="2552"/>
      <c r="H468" s="2552"/>
      <c r="I468" s="2552"/>
      <c r="J468" s="2552"/>
      <c r="K468" s="2552"/>
      <c r="L468" s="2552"/>
      <c r="M468" s="2552"/>
      <c r="N468" s="2552"/>
      <c r="O468" s="2552"/>
      <c r="P468" s="2552"/>
      <c r="Q468" s="2552"/>
      <c r="R468" s="2552"/>
      <c r="S468" s="2552"/>
      <c r="T468" s="2552"/>
      <c r="U468" s="2552"/>
      <c r="V468" s="2552"/>
      <c r="W468" s="2552"/>
      <c r="X468" s="2552"/>
      <c r="Y468" s="2552"/>
      <c r="Z468" s="2552"/>
      <c r="AA468" s="2552"/>
      <c r="AB468" s="2552"/>
      <c r="AC468" s="2552"/>
      <c r="AD468" s="2552"/>
      <c r="AE468" s="2552"/>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20" t="s">
        <v>590</v>
      </c>
      <c r="D470" s="2480"/>
      <c r="E470" s="711" t="s">
        <v>1493</v>
      </c>
      <c r="F470" s="2523" t="s">
        <v>1494</v>
      </c>
      <c r="G470" s="2523"/>
      <c r="H470" s="2523"/>
      <c r="I470" s="2523"/>
      <c r="J470" s="2523"/>
      <c r="K470" s="2523"/>
      <c r="L470" s="2523"/>
      <c r="M470" s="2523"/>
      <c r="N470" s="2523"/>
      <c r="O470" s="2523"/>
      <c r="P470" s="2523"/>
      <c r="Q470" s="2523"/>
      <c r="R470" s="2523"/>
      <c r="S470" s="2523"/>
      <c r="T470" s="2523"/>
      <c r="U470" s="2523"/>
      <c r="V470" s="2523"/>
      <c r="W470" s="2523"/>
      <c r="X470" s="2523"/>
      <c r="Y470" s="2523"/>
      <c r="Z470" s="2523"/>
      <c r="AA470" s="2523"/>
      <c r="AB470" s="2523"/>
      <c r="AC470" s="2523"/>
      <c r="AD470" s="2523"/>
      <c r="AE470" s="2523"/>
      <c r="AF470" s="2608" t="s">
        <v>1452</v>
      </c>
      <c r="AG470" s="2608"/>
      <c r="AH470" s="2608"/>
      <c r="AI470" s="2608"/>
      <c r="AJ470" s="2608"/>
      <c r="AK470" s="2608"/>
      <c r="AL470" s="2609"/>
      <c r="AM470" s="568"/>
      <c r="AN470" s="535"/>
    </row>
    <row r="471" spans="1:40" s="549" customFormat="1" ht="12.75" customHeight="1">
      <c r="A471" s="536"/>
      <c r="B471" s="14"/>
      <c r="C471" s="727"/>
      <c r="D471" s="14"/>
      <c r="E471" s="687"/>
      <c r="F471" s="2396"/>
      <c r="G471" s="2396"/>
      <c r="H471" s="2396"/>
      <c r="I471" s="2396"/>
      <c r="J471" s="2396"/>
      <c r="K471" s="2396"/>
      <c r="L471" s="2396"/>
      <c r="M471" s="2396"/>
      <c r="N471" s="2396"/>
      <c r="O471" s="2396"/>
      <c r="P471" s="2396"/>
      <c r="Q471" s="2396"/>
      <c r="R471" s="2396"/>
      <c r="S471" s="2396"/>
      <c r="T471" s="2396"/>
      <c r="U471" s="2396"/>
      <c r="V471" s="2396"/>
      <c r="W471" s="2396"/>
      <c r="X471" s="2396"/>
      <c r="Y471" s="2396"/>
      <c r="Z471" s="2396"/>
      <c r="AA471" s="2396"/>
      <c r="AB471" s="2396"/>
      <c r="AC471" s="2396"/>
      <c r="AD471" s="2396"/>
      <c r="AE471" s="2396"/>
      <c r="AF471" s="539"/>
      <c r="AG471" s="536"/>
      <c r="AL471" s="728"/>
      <c r="AM471" s="568"/>
      <c r="AN471" s="535"/>
    </row>
    <row r="472" spans="1:40" s="549" customFormat="1" ht="12.75" customHeight="1">
      <c r="A472" s="536"/>
      <c r="B472" s="14"/>
      <c r="C472" s="727"/>
      <c r="D472" s="14"/>
      <c r="E472" s="687"/>
      <c r="F472" s="2396"/>
      <c r="G472" s="2396"/>
      <c r="H472" s="2396"/>
      <c r="I472" s="2396"/>
      <c r="J472" s="2396"/>
      <c r="K472" s="2396"/>
      <c r="L472" s="2396"/>
      <c r="M472" s="2396"/>
      <c r="N472" s="2396"/>
      <c r="O472" s="2396"/>
      <c r="P472" s="2396"/>
      <c r="Q472" s="2396"/>
      <c r="R472" s="2396"/>
      <c r="S472" s="2396"/>
      <c r="T472" s="2396"/>
      <c r="U472" s="2396"/>
      <c r="V472" s="2396"/>
      <c r="W472" s="2396"/>
      <c r="X472" s="2396"/>
      <c r="Y472" s="2396"/>
      <c r="Z472" s="2396"/>
      <c r="AA472" s="2396"/>
      <c r="AB472" s="2396"/>
      <c r="AC472" s="2396"/>
      <c r="AD472" s="2396"/>
      <c r="AE472" s="2396"/>
      <c r="AF472" s="539"/>
      <c r="AG472" s="536"/>
      <c r="AL472" s="728"/>
      <c r="AM472" s="568"/>
      <c r="AN472" s="535"/>
    </row>
    <row r="473" spans="1:40" s="549" customFormat="1" ht="12.75" customHeight="1">
      <c r="A473" s="536"/>
      <c r="B473" s="14"/>
      <c r="C473" s="752"/>
      <c r="D473" s="719"/>
      <c r="E473" s="720"/>
      <c r="F473" s="2552"/>
      <c r="G473" s="2552"/>
      <c r="H473" s="2552"/>
      <c r="I473" s="2552"/>
      <c r="J473" s="2552"/>
      <c r="K473" s="2552"/>
      <c r="L473" s="2552"/>
      <c r="M473" s="2552"/>
      <c r="N473" s="2552"/>
      <c r="O473" s="2552"/>
      <c r="P473" s="2552"/>
      <c r="Q473" s="2552"/>
      <c r="R473" s="2552"/>
      <c r="S473" s="2552"/>
      <c r="T473" s="2552"/>
      <c r="U473" s="2552"/>
      <c r="V473" s="2552"/>
      <c r="W473" s="2552"/>
      <c r="X473" s="2552"/>
      <c r="Y473" s="2552"/>
      <c r="Z473" s="2552"/>
      <c r="AA473" s="2552"/>
      <c r="AB473" s="2552"/>
      <c r="AC473" s="2552"/>
      <c r="AD473" s="2552"/>
      <c r="AE473" s="2552"/>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1496</v>
      </c>
      <c r="F475" s="2523" t="s">
        <v>1497</v>
      </c>
      <c r="G475" s="2523"/>
      <c r="H475" s="2523"/>
      <c r="I475" s="2523"/>
      <c r="J475" s="2523"/>
      <c r="K475" s="2523"/>
      <c r="L475" s="2523"/>
      <c r="M475" s="2523"/>
      <c r="N475" s="2523"/>
      <c r="O475" s="2523"/>
      <c r="P475" s="2523"/>
      <c r="Q475" s="2523"/>
      <c r="R475" s="2523"/>
      <c r="S475" s="2523"/>
      <c r="T475" s="2523"/>
      <c r="U475" s="2523"/>
      <c r="V475" s="2523"/>
      <c r="W475" s="2523"/>
      <c r="X475" s="2523"/>
      <c r="Y475" s="2523"/>
      <c r="Z475" s="2523"/>
      <c r="AA475" s="2523"/>
      <c r="AB475" s="2523"/>
      <c r="AC475" s="2523"/>
      <c r="AD475" s="2523"/>
      <c r="AE475" s="2523"/>
      <c r="AF475" s="2523"/>
      <c r="AG475" s="740"/>
      <c r="AH475" s="710"/>
      <c r="AI475" s="710"/>
      <c r="AJ475" s="710"/>
      <c r="AK475" s="710"/>
      <c r="AL475" s="741"/>
      <c r="AM475" s="568"/>
      <c r="AN475" s="595"/>
    </row>
    <row r="476" spans="1:40" s="549" customFormat="1" ht="12.75" customHeight="1">
      <c r="A476" s="536"/>
      <c r="B476" s="14"/>
      <c r="C476" s="727"/>
      <c r="D476" s="14"/>
      <c r="E476" s="687"/>
      <c r="F476" s="2396"/>
      <c r="G476" s="2396"/>
      <c r="H476" s="2396"/>
      <c r="I476" s="2396"/>
      <c r="J476" s="2396"/>
      <c r="K476" s="2396"/>
      <c r="L476" s="2396"/>
      <c r="M476" s="2396"/>
      <c r="N476" s="2396"/>
      <c r="O476" s="2396"/>
      <c r="P476" s="2396"/>
      <c r="Q476" s="2396"/>
      <c r="R476" s="2396"/>
      <c r="S476" s="2396"/>
      <c r="T476" s="2396"/>
      <c r="U476" s="2396"/>
      <c r="V476" s="2396"/>
      <c r="W476" s="2396"/>
      <c r="X476" s="2396"/>
      <c r="Y476" s="2396"/>
      <c r="Z476" s="2396"/>
      <c r="AA476" s="2396"/>
      <c r="AB476" s="2396"/>
      <c r="AC476" s="2396"/>
      <c r="AD476" s="2396"/>
      <c r="AE476" s="2396"/>
      <c r="AF476" s="2396"/>
      <c r="AL476" s="728"/>
      <c r="AM476" s="568"/>
      <c r="AN476" s="595"/>
    </row>
    <row r="477" spans="1:40" s="549" customFormat="1" ht="12.75" customHeight="1">
      <c r="A477" s="536"/>
      <c r="B477" s="14"/>
      <c r="C477" s="735"/>
      <c r="F477" s="2396"/>
      <c r="G477" s="2396"/>
      <c r="H477" s="2396"/>
      <c r="I477" s="2396"/>
      <c r="J477" s="2396"/>
      <c r="K477" s="2396"/>
      <c r="L477" s="2396"/>
      <c r="M477" s="2396"/>
      <c r="N477" s="2396"/>
      <c r="O477" s="2396"/>
      <c r="P477" s="2396"/>
      <c r="Q477" s="2396"/>
      <c r="R477" s="2396"/>
      <c r="S477" s="2396"/>
      <c r="T477" s="2396"/>
      <c r="U477" s="2396"/>
      <c r="V477" s="2396"/>
      <c r="W477" s="2396"/>
      <c r="X477" s="2396"/>
      <c r="Y477" s="2396"/>
      <c r="Z477" s="2396"/>
      <c r="AA477" s="2396"/>
      <c r="AB477" s="2396"/>
      <c r="AC477" s="2396"/>
      <c r="AD477" s="2396"/>
      <c r="AE477" s="2396"/>
      <c r="AF477" s="2396"/>
      <c r="AL477" s="728"/>
      <c r="AM477" s="568"/>
      <c r="AN477" s="595"/>
    </row>
    <row r="478" spans="1:40" s="549" customFormat="1" ht="12.75" customHeight="1">
      <c r="A478" s="536"/>
      <c r="B478" s="14"/>
      <c r="C478" s="735"/>
      <c r="F478" s="2396"/>
      <c r="G478" s="2396"/>
      <c r="H478" s="2396"/>
      <c r="I478" s="2396"/>
      <c r="J478" s="2396"/>
      <c r="K478" s="2396"/>
      <c r="L478" s="2396"/>
      <c r="M478" s="2396"/>
      <c r="N478" s="2396"/>
      <c r="O478" s="2396"/>
      <c r="P478" s="2396"/>
      <c r="Q478" s="2396"/>
      <c r="R478" s="2396"/>
      <c r="S478" s="2396"/>
      <c r="T478" s="2396"/>
      <c r="U478" s="2396"/>
      <c r="V478" s="2396"/>
      <c r="W478" s="2396"/>
      <c r="X478" s="2396"/>
      <c r="Y478" s="2396"/>
      <c r="Z478" s="2396"/>
      <c r="AA478" s="2396"/>
      <c r="AB478" s="2396"/>
      <c r="AC478" s="2396"/>
      <c r="AD478" s="2396"/>
      <c r="AE478" s="2396"/>
      <c r="AF478" s="2396"/>
      <c r="AL478" s="728"/>
      <c r="AM478" s="568"/>
      <c r="AN478" s="595"/>
    </row>
    <row r="479" spans="1:40" s="549" customFormat="1" ht="12.75" customHeight="1">
      <c r="A479" s="536"/>
      <c r="B479" s="14"/>
      <c r="C479" s="2520" t="s">
        <v>590</v>
      </c>
      <c r="D479" s="2480"/>
      <c r="E479" s="715"/>
      <c r="F479" s="717" t="s">
        <v>1469</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21" t="s">
        <v>1452</v>
      </c>
      <c r="AG479" s="2521"/>
      <c r="AH479" s="2521"/>
      <c r="AI479" s="2521"/>
      <c r="AJ479" s="2521"/>
      <c r="AK479" s="2521"/>
      <c r="AL479" s="2522"/>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1499</v>
      </c>
      <c r="AK482" s="2483">
        <f>IF(Application!D214="N/A",AS371,AS373)</f>
        <v>10</v>
      </c>
      <c r="AL482" s="2484"/>
      <c r="AM482" s="2485"/>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1500</v>
      </c>
      <c r="C485" s="539"/>
      <c r="E485" s="594"/>
      <c r="AE485" s="2521" t="s">
        <v>1501</v>
      </c>
      <c r="AF485" s="2521"/>
      <c r="AG485" s="2521"/>
      <c r="AH485" s="2521"/>
      <c r="AI485" s="2521"/>
      <c r="AJ485" s="2521"/>
      <c r="AK485" s="2521"/>
      <c r="AL485" s="589"/>
      <c r="AN485" s="595"/>
      <c r="AO485" s="549" t="s">
        <v>1479</v>
      </c>
      <c r="AP485" s="549">
        <v>5</v>
      </c>
      <c r="AT485" s="549" t="s">
        <v>1479</v>
      </c>
      <c r="AU485" s="549">
        <v>5</v>
      </c>
      <c r="AV485" s="748"/>
    </row>
    <row r="486" spans="1:59" s="549" customFormat="1" ht="12.75" hidden="1" customHeight="1">
      <c r="A486" s="539"/>
      <c r="B486" s="536" t="s">
        <v>1502</v>
      </c>
      <c r="C486" s="539"/>
      <c r="E486" s="594"/>
      <c r="AE486" s="589"/>
      <c r="AF486" s="589"/>
      <c r="AG486" s="589"/>
      <c r="AH486" s="589"/>
      <c r="AI486" s="589"/>
      <c r="AJ486" s="589"/>
      <c r="AK486" s="589"/>
      <c r="AL486" s="589"/>
      <c r="AN486" s="595"/>
      <c r="AO486" s="549" t="s">
        <v>1503</v>
      </c>
      <c r="AP486" s="549">
        <v>5</v>
      </c>
      <c r="AT486" s="549" t="s">
        <v>1480</v>
      </c>
      <c r="AU486" s="549">
        <v>5</v>
      </c>
      <c r="AV486" s="748"/>
    </row>
    <row r="487" spans="1:59" s="549" customFormat="1" ht="12.75" hidden="1" customHeight="1">
      <c r="A487" s="539"/>
      <c r="B487" s="539" t="s">
        <v>1504</v>
      </c>
      <c r="C487" s="539"/>
      <c r="E487" s="594"/>
      <c r="AE487" s="589"/>
      <c r="AF487" s="589"/>
      <c r="AG487" s="589"/>
      <c r="AH487" s="589"/>
      <c r="AI487" s="589"/>
      <c r="AJ487" s="589"/>
      <c r="AK487" s="589"/>
      <c r="AL487" s="589"/>
      <c r="AN487" s="595"/>
      <c r="AO487" s="549" t="s">
        <v>1481</v>
      </c>
      <c r="AP487" s="549">
        <v>5</v>
      </c>
      <c r="AQ487" s="539"/>
      <c r="AR487" s="539"/>
      <c r="AS487" s="751"/>
      <c r="AT487" s="549" t="s">
        <v>1481</v>
      </c>
      <c r="AU487" s="549">
        <v>5</v>
      </c>
      <c r="AV487" s="536"/>
    </row>
    <row r="488" spans="1:59" s="549" customFormat="1" ht="12.75" hidden="1" customHeight="1">
      <c r="A488" s="539"/>
      <c r="B488" s="539" t="s">
        <v>1505</v>
      </c>
      <c r="C488" s="539"/>
      <c r="E488" s="594"/>
      <c r="AE488" s="589"/>
      <c r="AF488" s="589"/>
      <c r="AG488" s="589"/>
      <c r="AH488" s="589"/>
      <c r="AI488" s="589"/>
      <c r="AJ488" s="589"/>
      <c r="AK488" s="589"/>
      <c r="AL488" s="589"/>
      <c r="AN488" s="595"/>
      <c r="AO488" s="549" t="s">
        <v>1483</v>
      </c>
      <c r="AP488" s="549">
        <v>5</v>
      </c>
      <c r="AQ488" s="539"/>
      <c r="AR488" s="539"/>
      <c r="AT488" s="549" t="s">
        <v>1483</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1484</v>
      </c>
      <c r="AP489" s="549">
        <v>5</v>
      </c>
      <c r="AQ489" s="539"/>
      <c r="AR489" s="539"/>
      <c r="AT489" s="549" t="s">
        <v>1484</v>
      </c>
      <c r="AU489" s="549">
        <v>5</v>
      </c>
    </row>
    <row r="490" spans="1:59" s="549" customFormat="1" ht="12.75" hidden="1" customHeight="1">
      <c r="A490" s="539"/>
      <c r="C490" s="708" t="s">
        <v>1506</v>
      </c>
      <c r="D490" s="568"/>
      <c r="AE490" s="589"/>
      <c r="AF490" s="589"/>
      <c r="AG490" s="594"/>
      <c r="AH490" s="594"/>
      <c r="AI490" s="594"/>
      <c r="AJ490" s="594"/>
      <c r="AK490" s="594"/>
      <c r="AL490" s="594"/>
      <c r="AN490" s="595"/>
      <c r="AO490" s="549" t="s">
        <v>1485</v>
      </c>
      <c r="AP490" s="549">
        <v>5</v>
      </c>
      <c r="AT490" s="549" t="s">
        <v>1485</v>
      </c>
      <c r="AU490" s="549">
        <v>5</v>
      </c>
    </row>
    <row r="491" spans="1:59" s="549" customFormat="1" ht="12.75" hidden="1" customHeight="1">
      <c r="A491" s="539"/>
      <c r="C491" s="2527" t="s">
        <v>590</v>
      </c>
      <c r="D491" s="2528"/>
      <c r="E491" s="757" t="s">
        <v>506</v>
      </c>
      <c r="F491" s="2529" t="s">
        <v>1507</v>
      </c>
      <c r="G491" s="2529"/>
      <c r="H491" s="2529"/>
      <c r="I491" s="2529"/>
      <c r="J491" s="2529"/>
      <c r="K491" s="2529"/>
      <c r="L491" s="2529"/>
      <c r="M491" s="2529"/>
      <c r="N491" s="2529"/>
      <c r="O491" s="2529"/>
      <c r="P491" s="2529"/>
      <c r="Q491" s="2529"/>
      <c r="R491" s="2529"/>
      <c r="S491" s="2529"/>
      <c r="T491" s="2529"/>
      <c r="U491" s="2529"/>
      <c r="V491" s="2529"/>
      <c r="W491" s="2529"/>
      <c r="X491" s="2529"/>
      <c r="Y491" s="2529"/>
      <c r="Z491" s="2529"/>
      <c r="AA491" s="2529"/>
      <c r="AB491" s="2529"/>
      <c r="AC491" s="2529"/>
      <c r="AD491" s="2529"/>
      <c r="AE491" s="2529"/>
      <c r="AF491" s="710"/>
      <c r="AG491" s="710"/>
      <c r="AH491" s="710"/>
      <c r="AI491" s="710"/>
      <c r="AJ491" s="710"/>
      <c r="AK491" s="741"/>
      <c r="AN491" s="595"/>
      <c r="AO491" s="549" t="s">
        <v>1508</v>
      </c>
      <c r="AP491" s="549">
        <v>5</v>
      </c>
      <c r="AS491" s="754"/>
      <c r="AT491" s="549" t="s">
        <v>1486</v>
      </c>
      <c r="AU491" s="549">
        <v>5</v>
      </c>
    </row>
    <row r="492" spans="1:59" s="549" customFormat="1" ht="12.75" hidden="1" customHeight="1">
      <c r="C492" s="758"/>
      <c r="E492" s="759"/>
      <c r="F492" s="2530"/>
      <c r="G492" s="2530"/>
      <c r="H492" s="2530"/>
      <c r="I492" s="2530"/>
      <c r="J492" s="2530"/>
      <c r="K492" s="2530"/>
      <c r="L492" s="2530"/>
      <c r="M492" s="2530"/>
      <c r="N492" s="2530"/>
      <c r="O492" s="2530"/>
      <c r="P492" s="2530"/>
      <c r="Q492" s="2530"/>
      <c r="R492" s="2530"/>
      <c r="S492" s="2530"/>
      <c r="T492" s="2530"/>
      <c r="U492" s="2530"/>
      <c r="V492" s="2530"/>
      <c r="W492" s="2530"/>
      <c r="X492" s="2530"/>
      <c r="Y492" s="2530"/>
      <c r="Z492" s="2530"/>
      <c r="AA492" s="2530"/>
      <c r="AB492" s="2530"/>
      <c r="AC492" s="2530"/>
      <c r="AD492" s="2530"/>
      <c r="AE492" s="2530"/>
      <c r="AG492" s="550"/>
      <c r="AH492" s="550"/>
      <c r="AI492" s="550"/>
      <c r="AJ492" s="550"/>
      <c r="AK492" s="728"/>
      <c r="AN492" s="595"/>
      <c r="AO492" s="549" t="s">
        <v>1489</v>
      </c>
      <c r="AP492" s="549">
        <v>1</v>
      </c>
      <c r="AT492" s="549" t="s">
        <v>1489</v>
      </c>
      <c r="AU492" s="549">
        <v>1</v>
      </c>
    </row>
    <row r="493" spans="1:59" s="549" customFormat="1" ht="12.75" hidden="1" customHeight="1">
      <c r="C493" s="760"/>
      <c r="D493" s="723"/>
      <c r="E493" s="761"/>
      <c r="F493" s="2625" t="s">
        <v>590</v>
      </c>
      <c r="G493" s="2625"/>
      <c r="H493" s="2625"/>
      <c r="I493" s="2625"/>
      <c r="J493" s="2625"/>
      <c r="K493" s="2625"/>
      <c r="L493" s="2625"/>
      <c r="M493" s="2625"/>
      <c r="N493" s="2625"/>
      <c r="O493" s="2625"/>
      <c r="P493" s="2625"/>
      <c r="Q493" s="2625"/>
      <c r="R493" s="2625"/>
      <c r="S493" s="2625"/>
      <c r="T493" s="2625"/>
      <c r="U493" s="2625"/>
      <c r="V493" s="2625"/>
      <c r="W493" s="2625"/>
      <c r="X493" s="2625"/>
      <c r="Y493" s="2625"/>
      <c r="Z493" s="2625"/>
      <c r="AA493" s="762"/>
      <c r="AB493" s="654"/>
      <c r="AC493" s="654"/>
      <c r="AD493" s="723"/>
      <c r="AE493" s="723"/>
      <c r="AF493" s="723"/>
      <c r="AG493" s="763">
        <f>IF($C$491="Yes",(VLOOKUP($F$493,$AT$484:$AU$492,2,FALSE)),0)</f>
        <v>0</v>
      </c>
      <c r="AH493" s="764" t="s">
        <v>1321</v>
      </c>
      <c r="AI493" s="763"/>
      <c r="AJ493" s="763"/>
      <c r="AK493" s="738"/>
      <c r="AN493" s="595"/>
      <c r="AS493" s="751"/>
      <c r="AX493" s="751"/>
      <c r="BB493" s="751" t="s">
        <v>1490</v>
      </c>
      <c r="BF493" s="751" t="s">
        <v>1491</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46" t="s">
        <v>544</v>
      </c>
      <c r="D495" s="2647"/>
      <c r="E495" s="757" t="s">
        <v>756</v>
      </c>
      <c r="F495" s="765" t="s">
        <v>1509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1492</v>
      </c>
      <c r="AX495" s="635">
        <v>3</v>
      </c>
      <c r="AY495" s="591"/>
      <c r="BB495" s="754">
        <v>0.4</v>
      </c>
      <c r="BC495" s="591">
        <v>3</v>
      </c>
      <c r="BF495" s="754">
        <v>0.4</v>
      </c>
      <c r="BG495" s="591">
        <v>4</v>
      </c>
    </row>
    <row r="496" spans="1:59" s="549" customFormat="1" ht="12.75" hidden="1" customHeight="1">
      <c r="C496" s="766" t="s">
        <v>1510</v>
      </c>
      <c r="F496" s="767" t="s">
        <v>1511</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1495</v>
      </c>
      <c r="AX496" s="635">
        <v>5</v>
      </c>
      <c r="AY496" s="591"/>
      <c r="BB496" s="754">
        <v>0.6</v>
      </c>
      <c r="BC496" s="591">
        <v>4</v>
      </c>
      <c r="BF496" s="754">
        <v>0.6</v>
      </c>
      <c r="BG496" s="591">
        <v>5</v>
      </c>
    </row>
    <row r="497" spans="1:81" s="549" customFormat="1" ht="12.75" hidden="1" customHeight="1">
      <c r="C497" s="747"/>
      <c r="D497" s="726"/>
      <c r="E497" s="768"/>
      <c r="F497" s="767" t="s">
        <v>1512</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1513</v>
      </c>
      <c r="G498" s="549"/>
      <c r="H498" s="549"/>
      <c r="I498" s="767"/>
      <c r="J498" s="767"/>
      <c r="K498" s="767"/>
      <c r="L498" s="767"/>
      <c r="M498" s="767"/>
      <c r="N498" s="767"/>
      <c r="O498" s="767"/>
      <c r="P498" s="767"/>
      <c r="Q498" s="767"/>
      <c r="R498" s="767"/>
      <c r="S498" s="767"/>
      <c r="T498" s="767"/>
      <c r="U498" s="767"/>
      <c r="V498" s="2614" t="s">
        <v>590</v>
      </c>
      <c r="W498" s="2614"/>
      <c r="X498" s="2614"/>
      <c r="Y498" s="767"/>
      <c r="Z498" s="767"/>
      <c r="AA498" s="767"/>
      <c r="AB498" s="767"/>
      <c r="AC498" s="767"/>
      <c r="AD498" s="607"/>
      <c r="AE498" s="607"/>
      <c r="AF498" s="607"/>
      <c r="AG498" s="611">
        <f>IF(AND($C$495="Yes",$V$500="N/A",$V$505="N/A",$V$509="N/A",$V$511="N/A"),(VLOOKUP(V498,$AW$494:$AX$496,2,FALSE)),0)</f>
        <v>0</v>
      </c>
      <c r="AH498" s="638" t="s">
        <v>1321</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1514</v>
      </c>
      <c r="G500" s="549"/>
      <c r="H500" s="549"/>
      <c r="I500" s="767"/>
      <c r="J500" s="767"/>
      <c r="K500" s="767"/>
      <c r="L500" s="767"/>
      <c r="M500" s="767"/>
      <c r="N500" s="767"/>
      <c r="O500" s="767"/>
      <c r="P500" s="767"/>
      <c r="Q500" s="767"/>
      <c r="R500" s="767"/>
      <c r="S500" s="767"/>
      <c r="T500" s="767"/>
      <c r="U500" s="767"/>
      <c r="V500" s="2614" t="s">
        <v>590</v>
      </c>
      <c r="W500" s="2614"/>
      <c r="X500" s="2614"/>
      <c r="Y500" s="767"/>
      <c r="Z500" s="767"/>
      <c r="AA500" s="767"/>
      <c r="AB500" s="767"/>
      <c r="AC500" s="767"/>
      <c r="AD500" s="607"/>
      <c r="AE500" s="607"/>
      <c r="AF500" s="607"/>
      <c r="AG500" s="611">
        <f>IF(AND($C$495="Yes",$V$498="N/A", $V$505="N/A",$V$509="N/A",$V$511="N/A"),(VLOOKUP(V500,$AT$494:$AU$496,2,FALSE)),0)</f>
        <v>0</v>
      </c>
      <c r="AH500" s="638" t="s">
        <v>1321</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1515</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1516</v>
      </c>
      <c r="AP502" s="635">
        <v>2</v>
      </c>
    </row>
    <row r="503" spans="1:81" s="549" customFormat="1" ht="12.75" hidden="1" customHeight="1">
      <c r="C503" s="758"/>
      <c r="F503" s="607" t="s">
        <v>1517</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1518</v>
      </c>
      <c r="AP503" s="549">
        <v>2</v>
      </c>
    </row>
    <row r="504" spans="1:81" s="594" customFormat="1" ht="12.75" hidden="1" customHeight="1">
      <c r="A504" s="549"/>
      <c r="B504" s="549"/>
      <c r="C504" s="735"/>
      <c r="D504" s="568"/>
      <c r="E504" s="568"/>
      <c r="F504" s="607" t="s">
        <v>1519</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1520</v>
      </c>
      <c r="AP504" s="549">
        <v>2</v>
      </c>
    </row>
    <row r="505" spans="1:81" s="549" customFormat="1" ht="12.75" hidden="1" customHeight="1">
      <c r="C505" s="773"/>
      <c r="F505" s="771" t="s">
        <v>1521</v>
      </c>
      <c r="M505" s="759"/>
      <c r="N505" s="759"/>
      <c r="O505" s="759"/>
      <c r="P505" s="759"/>
      <c r="Q505" s="550"/>
      <c r="R505" s="550"/>
      <c r="S505" s="550"/>
      <c r="T505" s="550"/>
      <c r="U505" s="550"/>
      <c r="V505" s="2614" t="s">
        <v>590</v>
      </c>
      <c r="W505" s="2614"/>
      <c r="X505" s="2614"/>
      <c r="Y505" s="550"/>
      <c r="Z505" s="550"/>
      <c r="AA505" s="550"/>
      <c r="AB505" s="550"/>
      <c r="AC505" s="550"/>
      <c r="AG505" s="611">
        <f>IF(AND($C$495="Yes",$V$498="N/A",$V$500="N/A", $V$509="N/A",$V$511="N/A"),(VLOOKUP($V$505,$AT$498:$AU$500,2,FALSE)),0)</f>
        <v>0</v>
      </c>
      <c r="AH505" s="638" t="s">
        <v>1321</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1522</v>
      </c>
      <c r="D507" s="710"/>
      <c r="E507" s="710"/>
      <c r="F507" s="776" t="s">
        <v>1523</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600"/>
      <c r="E508" s="2600"/>
      <c r="F508" s="767" t="s">
        <v>1524</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1525</v>
      </c>
      <c r="AP508" s="635">
        <v>5</v>
      </c>
      <c r="AQ508" s="539"/>
    </row>
    <row r="509" spans="1:81" s="568" customFormat="1" ht="12.75" hidden="1" customHeight="1">
      <c r="A509" s="675"/>
      <c r="B509" s="549"/>
      <c r="C509" s="758"/>
      <c r="D509" s="549"/>
      <c r="E509" s="549"/>
      <c r="F509" s="778" t="s">
        <v>1513</v>
      </c>
      <c r="G509" s="549"/>
      <c r="H509" s="549"/>
      <c r="I509" s="549"/>
      <c r="J509" s="549"/>
      <c r="K509" s="549"/>
      <c r="L509" s="549"/>
      <c r="M509" s="549"/>
      <c r="N509" s="549"/>
      <c r="O509" s="549"/>
      <c r="P509" s="549"/>
      <c r="Q509" s="549"/>
      <c r="R509" s="549"/>
      <c r="S509" s="549"/>
      <c r="T509" s="549"/>
      <c r="U509" s="549"/>
      <c r="V509" s="2614" t="s">
        <v>590</v>
      </c>
      <c r="W509" s="2614"/>
      <c r="X509" s="2614"/>
      <c r="Y509" s="549"/>
      <c r="Z509" s="549"/>
      <c r="AA509" s="549"/>
      <c r="AB509" s="549"/>
      <c r="AC509" s="549"/>
      <c r="AD509" s="549"/>
      <c r="AE509" s="549"/>
      <c r="AF509" s="549"/>
      <c r="AG509" s="611">
        <f>IF(AND($C$495="Yes",$V$498="N/A",V500="N/A",$V$505="N/A",$V$511="N/A"),(VLOOKUP($V$509,$BB$494:$BC$497,2,FALSE)),0)</f>
        <v>0</v>
      </c>
      <c r="AH509" s="638" t="s">
        <v>1321</v>
      </c>
      <c r="AI509" s="550"/>
      <c r="AJ509" s="549"/>
      <c r="AK509" s="728"/>
      <c r="AL509" s="549"/>
      <c r="AM509" s="549"/>
      <c r="AN509" s="680"/>
      <c r="AO509" s="549" t="s">
        <v>1526</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1527</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1514</v>
      </c>
      <c r="G511" s="762"/>
      <c r="H511" s="762"/>
      <c r="I511" s="723"/>
      <c r="J511" s="723"/>
      <c r="K511" s="723"/>
      <c r="L511" s="723"/>
      <c r="M511" s="723"/>
      <c r="N511" s="723"/>
      <c r="O511" s="723"/>
      <c r="P511" s="723"/>
      <c r="Q511" s="723"/>
      <c r="R511" s="723"/>
      <c r="S511" s="723"/>
      <c r="T511" s="723"/>
      <c r="U511" s="723"/>
      <c r="V511" s="2614" t="s">
        <v>590</v>
      </c>
      <c r="W511" s="2614"/>
      <c r="X511" s="2614"/>
      <c r="Y511" s="723"/>
      <c r="Z511" s="723"/>
      <c r="AA511" s="723"/>
      <c r="AB511" s="723"/>
      <c r="AC511" s="723"/>
      <c r="AD511" s="723"/>
      <c r="AE511" s="723"/>
      <c r="AF511" s="723"/>
      <c r="AG511" s="779">
        <f>IF(AND($C$495="Yes",$V$498="N/A",$V$500="N/A",$V$505="N/A",$V$509="N/A"),(VLOOKUP($V$511,$BF$494:$BG$496,2,FALSE)),0)</f>
        <v>0</v>
      </c>
      <c r="AH511" s="764" t="s">
        <v>1321</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1528</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27" t="s">
        <v>590</v>
      </c>
      <c r="D514" s="2528"/>
      <c r="E514" s="757" t="s">
        <v>506</v>
      </c>
      <c r="F514" s="2529" t="s">
        <v>1507</v>
      </c>
      <c r="G514" s="2529"/>
      <c r="H514" s="2529"/>
      <c r="I514" s="2529"/>
      <c r="J514" s="2529"/>
      <c r="K514" s="2529"/>
      <c r="L514" s="2529"/>
      <c r="M514" s="2529"/>
      <c r="N514" s="2529"/>
      <c r="O514" s="2529"/>
      <c r="P514" s="2529"/>
      <c r="Q514" s="2529"/>
      <c r="R514" s="2529"/>
      <c r="S514" s="2529"/>
      <c r="T514" s="2529"/>
      <c r="U514" s="2529"/>
      <c r="V514" s="2529"/>
      <c r="W514" s="2529"/>
      <c r="X514" s="2529"/>
      <c r="Y514" s="2529"/>
      <c r="Z514" s="2529"/>
      <c r="AA514" s="2529"/>
      <c r="AB514" s="2529"/>
      <c r="AC514" s="2529"/>
      <c r="AD514" s="2529"/>
      <c r="AE514" s="2529"/>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30"/>
      <c r="G515" s="2530"/>
      <c r="H515" s="2530"/>
      <c r="I515" s="2530"/>
      <c r="J515" s="2530"/>
      <c r="K515" s="2530"/>
      <c r="L515" s="2530"/>
      <c r="M515" s="2530"/>
      <c r="N515" s="2530"/>
      <c r="O515" s="2530"/>
      <c r="P515" s="2530"/>
      <c r="Q515" s="2530"/>
      <c r="R515" s="2530"/>
      <c r="S515" s="2530"/>
      <c r="T515" s="2530"/>
      <c r="U515" s="2530"/>
      <c r="V515" s="2530"/>
      <c r="W515" s="2530"/>
      <c r="X515" s="2530"/>
      <c r="Y515" s="2530"/>
      <c r="Z515" s="2530"/>
      <c r="AA515" s="2530"/>
      <c r="AB515" s="2530"/>
      <c r="AC515" s="2530"/>
      <c r="AD515" s="2530"/>
      <c r="AE515" s="2530"/>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21" t="s">
        <v>590</v>
      </c>
      <c r="G516" s="2621"/>
      <c r="H516" s="2621"/>
      <c r="I516" s="2621"/>
      <c r="J516" s="2621"/>
      <c r="K516" s="2621"/>
      <c r="L516" s="2621"/>
      <c r="M516" s="2621"/>
      <c r="N516" s="2621"/>
      <c r="O516" s="2621"/>
      <c r="P516" s="2621"/>
      <c r="Q516" s="2621"/>
      <c r="R516" s="2621"/>
      <c r="S516" s="2621"/>
      <c r="T516" s="2621"/>
      <c r="U516" s="2621"/>
      <c r="V516" s="2621"/>
      <c r="W516" s="2621"/>
      <c r="X516" s="2621"/>
      <c r="Y516" s="2621"/>
      <c r="Z516" s="2621"/>
      <c r="AA516" s="762"/>
      <c r="AB516" s="654"/>
      <c r="AC516" s="654"/>
      <c r="AD516" s="723"/>
      <c r="AE516" s="723"/>
      <c r="AF516" s="723"/>
      <c r="AG516" s="763">
        <f>IF($C$514="Yes",(VLOOKUP($F$516,$AO$484:$AP$492,2,FALSE)),0)</f>
        <v>0</v>
      </c>
      <c r="AH516" s="764" t="s">
        <v>1321</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27" t="s">
        <v>590</v>
      </c>
      <c r="D518" s="2528"/>
      <c r="E518" s="757" t="s">
        <v>756</v>
      </c>
      <c r="F518" s="2622" t="s">
        <v>1529</v>
      </c>
      <c r="G518" s="2622"/>
      <c r="H518" s="2622"/>
      <c r="I518" s="2622"/>
      <c r="J518" s="2622"/>
      <c r="K518" s="2622"/>
      <c r="L518" s="2622"/>
      <c r="M518" s="2622"/>
      <c r="N518" s="2622"/>
      <c r="O518" s="2622"/>
      <c r="P518" s="2622"/>
      <c r="Q518" s="2622"/>
      <c r="R518" s="2622"/>
      <c r="S518" s="2622"/>
      <c r="T518" s="2622"/>
      <c r="U518" s="2622"/>
      <c r="V518" s="2622"/>
      <c r="W518" s="2622"/>
      <c r="X518" s="2622"/>
      <c r="Y518" s="2622"/>
      <c r="Z518" s="2622"/>
      <c r="AA518" s="2622"/>
      <c r="AB518" s="2622"/>
      <c r="AC518" s="2622"/>
      <c r="AD518" s="2622"/>
      <c r="AE518" s="2622"/>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23"/>
      <c r="G519" s="2623"/>
      <c r="H519" s="2623"/>
      <c r="I519" s="2623"/>
      <c r="J519" s="2623"/>
      <c r="K519" s="2623"/>
      <c r="L519" s="2623"/>
      <c r="M519" s="2623"/>
      <c r="N519" s="2623"/>
      <c r="O519" s="2623"/>
      <c r="P519" s="2623"/>
      <c r="Q519" s="2623"/>
      <c r="R519" s="2623"/>
      <c r="S519" s="2623"/>
      <c r="T519" s="2623"/>
      <c r="U519" s="2623"/>
      <c r="V519" s="2623"/>
      <c r="W519" s="2623"/>
      <c r="X519" s="2623"/>
      <c r="Y519" s="2623"/>
      <c r="Z519" s="2623"/>
      <c r="AA519" s="2623"/>
      <c r="AB519" s="2623"/>
      <c r="AC519" s="2623"/>
      <c r="AD519" s="2623"/>
      <c r="AE519" s="2623"/>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1530</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24" t="s">
        <v>590</v>
      </c>
      <c r="G521" s="2624"/>
      <c r="H521" s="2624"/>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1321</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27" t="s">
        <v>590</v>
      </c>
      <c r="D523" s="2528"/>
      <c r="E523" s="757" t="s">
        <v>1531</v>
      </c>
      <c r="F523" s="776" t="s">
        <v>1532</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99"/>
      <c r="D525" s="2600"/>
      <c r="E525" s="768"/>
      <c r="F525" s="550" t="s">
        <v>1533</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1321</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601" t="s">
        <v>590</v>
      </c>
      <c r="H526" s="2601"/>
      <c r="I526" s="2601"/>
      <c r="J526" s="2601"/>
      <c r="K526" s="2601"/>
      <c r="L526" s="2601"/>
      <c r="M526" s="2601"/>
      <c r="N526" s="2601"/>
      <c r="O526" s="2601"/>
      <c r="P526" s="2601"/>
      <c r="Q526" s="2601"/>
      <c r="R526" s="2601"/>
      <c r="S526" s="2601"/>
      <c r="T526" s="2601"/>
      <c r="U526" s="2601"/>
      <c r="V526" s="2601"/>
      <c r="W526" s="2601"/>
      <c r="X526" s="2601"/>
      <c r="Y526" s="2601"/>
      <c r="Z526" s="2601"/>
      <c r="AA526" s="2601"/>
      <c r="AB526" s="2601"/>
      <c r="AC526" s="2601"/>
      <c r="AD526" s="2601"/>
      <c r="AE526" s="2601"/>
      <c r="AF526" s="2601"/>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602" t="s">
        <v>590</v>
      </c>
      <c r="D528" s="2603"/>
      <c r="F528" s="550" t="s">
        <v>1534</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1321</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1535</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1536</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602" t="s">
        <v>590</v>
      </c>
      <c r="D532" s="2603"/>
      <c r="F532" s="791" t="s">
        <v>1537</v>
      </c>
      <c r="G532" s="2396" t="s">
        <v>1538</v>
      </c>
      <c r="H532" s="2396"/>
      <c r="I532" s="2396"/>
      <c r="J532" s="2396"/>
      <c r="K532" s="2396"/>
      <c r="L532" s="2396"/>
      <c r="M532" s="2396"/>
      <c r="N532" s="2396"/>
      <c r="O532" s="2396"/>
      <c r="P532" s="2396"/>
      <c r="Q532" s="2396"/>
      <c r="R532" s="2396"/>
      <c r="S532" s="2396"/>
      <c r="T532" s="2396"/>
      <c r="U532" s="2396"/>
      <c r="V532" s="2396"/>
      <c r="W532" s="2396"/>
      <c r="X532" s="2396"/>
      <c r="Y532" s="2396"/>
      <c r="Z532" s="2396"/>
      <c r="AA532" s="2396"/>
      <c r="AB532" s="2396"/>
      <c r="AC532" s="2396"/>
      <c r="AD532" s="2396"/>
      <c r="AE532" s="2396"/>
      <c r="AF532" s="2396"/>
      <c r="AG532" s="611">
        <f>IF(AND($C$532="Yes",$C$523="Yes"),2,0)</f>
        <v>0</v>
      </c>
      <c r="AH532" s="638" t="s">
        <v>1321</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52"/>
      <c r="H533" s="2552"/>
      <c r="I533" s="2552"/>
      <c r="J533" s="2552"/>
      <c r="K533" s="2552"/>
      <c r="L533" s="2552"/>
      <c r="M533" s="2552"/>
      <c r="N533" s="2552"/>
      <c r="O533" s="2552"/>
      <c r="P533" s="2552"/>
      <c r="Q533" s="2552"/>
      <c r="R533" s="2552"/>
      <c r="S533" s="2552"/>
      <c r="T533" s="2552"/>
      <c r="U533" s="2552"/>
      <c r="V533" s="2552"/>
      <c r="W533" s="2552"/>
      <c r="X533" s="2552"/>
      <c r="Y533" s="2552"/>
      <c r="Z533" s="2552"/>
      <c r="AA533" s="2552"/>
      <c r="AB533" s="2552"/>
      <c r="AC533" s="2552"/>
      <c r="AD533" s="2552"/>
      <c r="AE533" s="2552"/>
      <c r="AF533" s="2552"/>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1539</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604" t="s">
        <v>590</v>
      </c>
      <c r="D536" s="2605"/>
      <c r="E536" s="798" t="s">
        <v>1540</v>
      </c>
      <c r="F536" s="767" t="s">
        <v>1541</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1321</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606" t="s">
        <v>590</v>
      </c>
      <c r="G537" s="2606"/>
      <c r="H537" s="2606"/>
      <c r="I537" s="2606"/>
      <c r="J537" s="2606"/>
      <c r="K537" s="2606"/>
      <c r="L537" s="2606"/>
      <c r="M537" s="2606"/>
      <c r="N537" s="2606"/>
      <c r="O537" s="2606"/>
      <c r="P537" s="2606"/>
      <c r="Q537" s="2606"/>
      <c r="R537" s="2606"/>
      <c r="S537" s="2606"/>
      <c r="T537" s="2606"/>
      <c r="U537" s="2606"/>
      <c r="V537" s="2606"/>
      <c r="W537" s="2606"/>
      <c r="X537" s="2606"/>
      <c r="Y537" s="2606"/>
      <c r="Z537" s="2606"/>
      <c r="AA537" s="2606"/>
      <c r="AB537" s="2606"/>
      <c r="AC537" s="2606"/>
      <c r="AD537" s="2606"/>
      <c r="AE537" s="2606"/>
      <c r="AF537" s="2606"/>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607"/>
      <c r="G538" s="2607"/>
      <c r="H538" s="2607"/>
      <c r="I538" s="2607"/>
      <c r="J538" s="2607"/>
      <c r="K538" s="2607"/>
      <c r="L538" s="2607"/>
      <c r="M538" s="2607"/>
      <c r="N538" s="2607"/>
      <c r="O538" s="2607"/>
      <c r="P538" s="2607"/>
      <c r="Q538" s="2607"/>
      <c r="R538" s="2607"/>
      <c r="S538" s="2607"/>
      <c r="T538" s="2607"/>
      <c r="U538" s="2607"/>
      <c r="V538" s="2607"/>
      <c r="W538" s="2607"/>
      <c r="X538" s="2607"/>
      <c r="Y538" s="2607"/>
      <c r="Z538" s="2607"/>
      <c r="AA538" s="2607"/>
      <c r="AB538" s="2607"/>
      <c r="AC538" s="2607"/>
      <c r="AD538" s="2607"/>
      <c r="AE538" s="2607"/>
      <c r="AF538" s="2607"/>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1542</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1543</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1544</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1545</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1546</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1547</v>
      </c>
      <c r="AK548" s="2483">
        <f>SUM(AG492:AG537)</f>
        <v>0</v>
      </c>
      <c r="AL548" s="2484"/>
      <c r="AM548" s="2485"/>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1443</v>
      </c>
      <c r="B551" s="539" t="s">
        <v>1549</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25" t="s">
        <v>1550</v>
      </c>
      <c r="AF551" s="2425"/>
      <c r="AG551" s="2425"/>
      <c r="AH551" s="2425"/>
      <c r="AI551" s="2425"/>
      <c r="AJ551" s="2425"/>
      <c r="AK551" s="2425"/>
      <c r="AL551" s="593"/>
      <c r="AM551" s="593"/>
      <c r="AN551" s="595"/>
    </row>
    <row r="552" spans="1:81" s="549" customFormat="1" ht="12.75" customHeight="1">
      <c r="A552" s="539"/>
      <c r="B552" s="539" t="s">
        <v>1317</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80" t="s">
        <v>544</v>
      </c>
      <c r="D554" s="2480"/>
      <c r="E554" s="550"/>
      <c r="F554" s="2531" t="s">
        <v>1551</v>
      </c>
      <c r="G554" s="2532"/>
      <c r="H554" s="2532"/>
      <c r="I554" s="2532"/>
      <c r="J554" s="2532"/>
      <c r="K554" s="2532"/>
      <c r="L554" s="2532"/>
      <c r="M554" s="2532"/>
      <c r="N554" s="2532"/>
      <c r="O554" s="2532"/>
      <c r="P554" s="2532"/>
      <c r="Q554" s="2532"/>
      <c r="R554" s="2532"/>
      <c r="S554" s="2532"/>
      <c r="T554" s="2532"/>
      <c r="U554" s="2532"/>
      <c r="V554" s="2532"/>
      <c r="W554" s="2532"/>
      <c r="X554" s="2532"/>
      <c r="Y554" s="2532"/>
      <c r="Z554" s="2532"/>
      <c r="AA554" s="2532"/>
      <c r="AB554" s="2532"/>
      <c r="AC554" s="2532"/>
      <c r="AD554" s="2532"/>
      <c r="AE554" s="2532"/>
      <c r="AF554" s="2532"/>
      <c r="AG554" s="2532"/>
      <c r="AH554" s="2532"/>
      <c r="AI554" s="2532"/>
      <c r="AJ554" s="2532"/>
      <c r="AK554" s="2532"/>
      <c r="AL554" s="2533"/>
      <c r="AM554" s="593"/>
      <c r="AN554" s="595"/>
    </row>
    <row r="555" spans="1:81" s="549" customFormat="1" ht="12.75" customHeight="1">
      <c r="B555" s="539"/>
      <c r="C555" s="550"/>
      <c r="D555" s="550"/>
      <c r="E555" s="550"/>
      <c r="F555" s="2534"/>
      <c r="G555" s="2535"/>
      <c r="H555" s="2535"/>
      <c r="I555" s="2535"/>
      <c r="J555" s="2535"/>
      <c r="K555" s="2535"/>
      <c r="L555" s="2535"/>
      <c r="M555" s="2535"/>
      <c r="N555" s="2535"/>
      <c r="O555" s="2535"/>
      <c r="P555" s="2535"/>
      <c r="Q555" s="2535"/>
      <c r="R555" s="2535"/>
      <c r="S555" s="2535"/>
      <c r="T555" s="2535"/>
      <c r="U555" s="2535"/>
      <c r="V555" s="2535"/>
      <c r="W555" s="2535"/>
      <c r="X555" s="2535"/>
      <c r="Y555" s="2535"/>
      <c r="Z555" s="2535"/>
      <c r="AA555" s="2535"/>
      <c r="AB555" s="2535"/>
      <c r="AC555" s="2535"/>
      <c r="AD555" s="2535"/>
      <c r="AE555" s="2535"/>
      <c r="AF555" s="2535"/>
      <c r="AG555" s="2535"/>
      <c r="AH555" s="2535"/>
      <c r="AI555" s="2535"/>
      <c r="AJ555" s="2535"/>
      <c r="AK555" s="2535"/>
      <c r="AL555" s="2536"/>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80" t="s">
        <v>590</v>
      </c>
      <c r="D557" s="2480"/>
      <c r="E557" s="802"/>
      <c r="F557" s="642" t="s">
        <v>1552</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74" t="s">
        <v>2616</v>
      </c>
      <c r="G558" s="2475"/>
      <c r="H558" s="2475"/>
      <c r="I558" s="2475"/>
      <c r="J558" s="2475"/>
      <c r="K558" s="2475"/>
      <c r="L558" s="2475"/>
      <c r="M558" s="2475"/>
      <c r="N558" s="2475"/>
      <c r="O558" s="2475"/>
      <c r="P558" s="2475"/>
      <c r="Q558" s="2475"/>
      <c r="R558" s="2475"/>
      <c r="S558" s="2475"/>
      <c r="T558" s="2475"/>
      <c r="U558" s="2475"/>
      <c r="V558" s="2475"/>
      <c r="W558" s="2475"/>
      <c r="X558" s="2475"/>
      <c r="Y558" s="2475"/>
      <c r="Z558" s="2475"/>
      <c r="AA558" s="2475"/>
      <c r="AB558" s="2475"/>
      <c r="AC558" s="2475"/>
      <c r="AD558" s="2475"/>
      <c r="AE558" s="2475"/>
      <c r="AF558" s="2475"/>
      <c r="AG558" s="2475"/>
      <c r="AH558" s="2475"/>
      <c r="AI558" s="2475"/>
      <c r="AJ558" s="2475"/>
      <c r="AK558" s="2475"/>
      <c r="AL558" s="2476"/>
      <c r="AM558" s="593"/>
      <c r="AN558" s="595"/>
      <c r="AS558" s="866"/>
      <c r="AT558" s="866"/>
      <c r="AU558" s="866"/>
      <c r="AV558" s="866"/>
      <c r="AW558" s="866"/>
    </row>
    <row r="559" spans="1:81" s="549" customFormat="1" ht="12.75" customHeight="1">
      <c r="B559" s="802"/>
      <c r="C559" s="802"/>
      <c r="D559" s="802"/>
      <c r="E559" s="802"/>
      <c r="F559" s="2474"/>
      <c r="G559" s="2475"/>
      <c r="H559" s="2475"/>
      <c r="I559" s="2475"/>
      <c r="J559" s="2475"/>
      <c r="K559" s="2475"/>
      <c r="L559" s="2475"/>
      <c r="M559" s="2475"/>
      <c r="N559" s="2475"/>
      <c r="O559" s="2475"/>
      <c r="P559" s="2475"/>
      <c r="Q559" s="2475"/>
      <c r="R559" s="2475"/>
      <c r="S559" s="2475"/>
      <c r="T559" s="2475"/>
      <c r="U559" s="2475"/>
      <c r="V559" s="2475"/>
      <c r="W559" s="2475"/>
      <c r="X559" s="2475"/>
      <c r="Y559" s="2475"/>
      <c r="Z559" s="2475"/>
      <c r="AA559" s="2475"/>
      <c r="AB559" s="2475"/>
      <c r="AC559" s="2475"/>
      <c r="AD559" s="2475"/>
      <c r="AE559" s="2475"/>
      <c r="AF559" s="2475"/>
      <c r="AG559" s="2475"/>
      <c r="AH559" s="2475"/>
      <c r="AI559" s="2475"/>
      <c r="AJ559" s="2475"/>
      <c r="AK559" s="2475"/>
      <c r="AL559" s="2476"/>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74" t="s">
        <v>1553</v>
      </c>
      <c r="G561" s="2475"/>
      <c r="H561" s="2475"/>
      <c r="I561" s="2475"/>
      <c r="J561" s="2475"/>
      <c r="K561" s="2475"/>
      <c r="L561" s="2475"/>
      <c r="M561" s="2475"/>
      <c r="N561" s="2475"/>
      <c r="O561" s="2475"/>
      <c r="P561" s="2475"/>
      <c r="Q561" s="2475"/>
      <c r="R561" s="2475"/>
      <c r="S561" s="2475"/>
      <c r="T561" s="2475"/>
      <c r="U561" s="2475"/>
      <c r="V561" s="2475"/>
      <c r="W561" s="2475"/>
      <c r="X561" s="2475"/>
      <c r="Y561" s="2475"/>
      <c r="Z561" s="2475"/>
      <c r="AA561" s="2475"/>
      <c r="AB561" s="2475"/>
      <c r="AC561" s="2475"/>
      <c r="AD561" s="2475"/>
      <c r="AE561" s="2475"/>
      <c r="AF561" s="2475"/>
      <c r="AG561" s="2475"/>
      <c r="AH561" s="2475"/>
      <c r="AI561" s="2475"/>
      <c r="AJ561" s="2475"/>
      <c r="AK561" s="2475"/>
      <c r="AL561" s="809"/>
      <c r="AM561" s="593"/>
      <c r="AN561" s="595"/>
    </row>
    <row r="562" spans="1:45" s="549" customFormat="1" ht="12.75" customHeight="1">
      <c r="B562" s="802"/>
      <c r="C562" s="802"/>
      <c r="D562" s="802"/>
      <c r="E562" s="802"/>
      <c r="F562" s="2477"/>
      <c r="G562" s="2478"/>
      <c r="H562" s="2478"/>
      <c r="I562" s="2478"/>
      <c r="J562" s="2478"/>
      <c r="K562" s="2478"/>
      <c r="L562" s="2478"/>
      <c r="M562" s="2478"/>
      <c r="N562" s="2478"/>
      <c r="O562" s="2478"/>
      <c r="P562" s="2478"/>
      <c r="Q562" s="2478"/>
      <c r="R562" s="2478"/>
      <c r="S562" s="2478"/>
      <c r="T562" s="2478"/>
      <c r="U562" s="2478"/>
      <c r="V562" s="2478"/>
      <c r="W562" s="2478"/>
      <c r="X562" s="2478"/>
      <c r="Y562" s="2478"/>
      <c r="Z562" s="2478"/>
      <c r="AA562" s="2478"/>
      <c r="AB562" s="2478"/>
      <c r="AC562" s="2478"/>
      <c r="AD562" s="2478"/>
      <c r="AE562" s="2478"/>
      <c r="AF562" s="2478"/>
      <c r="AG562" s="2478"/>
      <c r="AH562" s="2478"/>
      <c r="AI562" s="2478"/>
      <c r="AJ562" s="2478"/>
      <c r="AK562" s="2478"/>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13">
        <f>Application!AJ1001</f>
        <v>115895413</v>
      </c>
      <c r="AQ563" s="2613"/>
      <c r="AR563" s="2613"/>
      <c r="AS563" s="549" t="s">
        <v>2122</v>
      </c>
    </row>
    <row r="564" spans="1:45" s="549" customFormat="1" ht="12.75" customHeight="1">
      <c r="A564" s="498"/>
      <c r="B564" s="447" t="s">
        <v>1554</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86">
        <f>'Sources and Uses Budget'!S107+'Sources and Uses Budget'!T107</f>
        <v>52312574</v>
      </c>
      <c r="AG564" s="2486"/>
      <c r="AH564" s="2486"/>
      <c r="AI564" s="2486"/>
      <c r="AJ564" s="2486"/>
      <c r="AK564" s="593"/>
      <c r="AL564" s="593"/>
      <c r="AM564" s="593"/>
      <c r="AN564" s="595"/>
    </row>
    <row r="565" spans="1:45" s="549" customFormat="1" ht="12.75" customHeight="1">
      <c r="A565" s="623"/>
      <c r="B565" s="623" t="s">
        <v>1555</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17">
        <f>IFERROR(AP572,0)</f>
        <v>162253578.19999999</v>
      </c>
      <c r="AG565" s="2617"/>
      <c r="AH565" s="2617"/>
      <c r="AI565" s="2617"/>
      <c r="AJ565" s="2617"/>
      <c r="AK565" s="593"/>
      <c r="AL565" s="593"/>
      <c r="AM565" s="593"/>
      <c r="AN565" s="595"/>
      <c r="AP565" s="2613">
        <f>Application!AJ1054</f>
        <v>23179082.600000001</v>
      </c>
      <c r="AQ565" s="2613"/>
      <c r="AR565" s="2613"/>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18">
        <f>IFERROR(ROUNDDOWN(IF(C557="YES",((1-(AF564/AF565))*2),(1-(AF564/AF565))),2),0)</f>
        <v>0.67</v>
      </c>
      <c r="AG566" s="2618"/>
      <c r="AH566" s="2618"/>
      <c r="AI566" s="2618"/>
      <c r="AJ566" s="2618"/>
      <c r="AK566" s="593"/>
      <c r="AL566" s="593"/>
      <c r="AM566" s="593"/>
      <c r="AN566" s="595"/>
      <c r="AP566" s="2633">
        <f>Application!AJ1058</f>
        <v>23179082.600000001</v>
      </c>
      <c r="AQ566" s="2633"/>
      <c r="AR566" s="2633"/>
      <c r="AS566" s="549" t="s">
        <v>2123</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12">
        <f>IF(((AP565+AP566)/AP563)&gt;0.8,0.8,((AP565+AP566)/AP563))</f>
        <v>0.4</v>
      </c>
      <c r="AQ567" s="2612"/>
      <c r="AR567" s="2612"/>
      <c r="AS567" s="549" t="s">
        <v>2124</v>
      </c>
    </row>
    <row r="568" spans="1:45" s="549" customFormat="1" ht="12.75" customHeight="1">
      <c r="A568" s="622"/>
      <c r="B568" s="2559" t="s">
        <v>1991</v>
      </c>
      <c r="C568" s="2560"/>
      <c r="D568" s="2560"/>
      <c r="E568" s="2560"/>
      <c r="F568" s="2560"/>
      <c r="G568" s="2560"/>
      <c r="H568" s="2560"/>
      <c r="I568" s="2560"/>
      <c r="J568" s="2560"/>
      <c r="K568" s="2560"/>
      <c r="L568" s="2560"/>
      <c r="M568" s="2560"/>
      <c r="N568" s="2560"/>
      <c r="O568" s="2560"/>
      <c r="P568" s="2560"/>
      <c r="Q568" s="2560"/>
      <c r="R568" s="2560"/>
      <c r="S568" s="2560"/>
      <c r="T568" s="2560"/>
      <c r="U568" s="2560"/>
      <c r="V568" s="2560"/>
      <c r="W568" s="2560"/>
      <c r="X568" s="2560"/>
      <c r="Y568" s="2560"/>
      <c r="Z568" s="2560"/>
      <c r="AA568" s="2560"/>
      <c r="AB568" s="2560"/>
      <c r="AC568" s="2560"/>
      <c r="AD568" s="2560"/>
      <c r="AE568" s="2560"/>
      <c r="AF568" s="2560"/>
      <c r="AG568" s="2560"/>
      <c r="AH568" s="2560"/>
      <c r="AI568" s="2560"/>
      <c r="AJ568" s="2561"/>
      <c r="AK568" s="593"/>
      <c r="AL568" s="593"/>
      <c r="AM568" s="593"/>
      <c r="AN568" s="595"/>
    </row>
    <row r="569" spans="1:45" s="549" customFormat="1" ht="12.75" customHeight="1">
      <c r="A569" s="622"/>
      <c r="B569" s="2562"/>
      <c r="C569" s="2563"/>
      <c r="D569" s="2563"/>
      <c r="E569" s="2563"/>
      <c r="F569" s="2563"/>
      <c r="G569" s="2563"/>
      <c r="H569" s="2563"/>
      <c r="I569" s="2563"/>
      <c r="J569" s="2563"/>
      <c r="K569" s="2563"/>
      <c r="L569" s="2563"/>
      <c r="M569" s="2563"/>
      <c r="N569" s="2563"/>
      <c r="O569" s="2563"/>
      <c r="P569" s="2563"/>
      <c r="Q569" s="2563"/>
      <c r="R569" s="2563"/>
      <c r="S569" s="2563"/>
      <c r="T569" s="2563"/>
      <c r="U569" s="2563"/>
      <c r="V569" s="2563"/>
      <c r="W569" s="2563"/>
      <c r="X569" s="2563"/>
      <c r="Y569" s="2563"/>
      <c r="Z569" s="2563"/>
      <c r="AA569" s="2563"/>
      <c r="AB569" s="2563"/>
      <c r="AC569" s="2563"/>
      <c r="AD569" s="2563"/>
      <c r="AE569" s="2563"/>
      <c r="AF569" s="2563"/>
      <c r="AG569" s="2563"/>
      <c r="AH569" s="2563"/>
      <c r="AI569" s="2563"/>
      <c r="AJ569" s="2564"/>
      <c r="AK569" s="593"/>
      <c r="AL569" s="593"/>
      <c r="AM569" s="593"/>
      <c r="AN569" s="595"/>
      <c r="AP569" s="2613">
        <f>AP570-AP565-AP566</f>
        <v>115895413</v>
      </c>
      <c r="AQ569" s="2544"/>
      <c r="AR569" s="2544"/>
      <c r="AS569" s="549" t="s">
        <v>2126</v>
      </c>
    </row>
    <row r="570" spans="1:45" s="549" customFormat="1" ht="12.75" customHeight="1">
      <c r="A570" s="622"/>
      <c r="B570" s="2565"/>
      <c r="C570" s="2566"/>
      <c r="D570" s="2566"/>
      <c r="E570" s="2566"/>
      <c r="F570" s="2566"/>
      <c r="G570" s="2566"/>
      <c r="H570" s="2566"/>
      <c r="I570" s="2566"/>
      <c r="J570" s="2566"/>
      <c r="K570" s="2566"/>
      <c r="L570" s="2566"/>
      <c r="M570" s="2566"/>
      <c r="N570" s="2566"/>
      <c r="O570" s="2566"/>
      <c r="P570" s="2566"/>
      <c r="Q570" s="2566"/>
      <c r="R570" s="2566"/>
      <c r="S570" s="2566"/>
      <c r="T570" s="2566"/>
      <c r="U570" s="2566"/>
      <c r="V570" s="2566"/>
      <c r="W570" s="2566"/>
      <c r="X570" s="2566"/>
      <c r="Y570" s="2566"/>
      <c r="Z570" s="2566"/>
      <c r="AA570" s="2566"/>
      <c r="AB570" s="2566"/>
      <c r="AC570" s="2566"/>
      <c r="AD570" s="2566"/>
      <c r="AE570" s="2566"/>
      <c r="AF570" s="2566"/>
      <c r="AG570" s="2566"/>
      <c r="AH570" s="2566"/>
      <c r="AI570" s="2566"/>
      <c r="AJ570" s="2567"/>
      <c r="AK570" s="593"/>
      <c r="AL570" s="593"/>
      <c r="AM570" s="593"/>
      <c r="AN570" s="595"/>
      <c r="AP570" s="2613">
        <f>Application!AJ1062</f>
        <v>162253578.19999999</v>
      </c>
      <c r="AQ570" s="2613"/>
      <c r="AR570" s="2613"/>
      <c r="AS570" s="549" t="s">
        <v>2125</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1556</v>
      </c>
      <c r="AK572" s="2568">
        <f>IFERROR(IF(AND(C554="N/A",C557="N/A"),0,IF(AF566=0,0,IF((AF566*100)&gt;12,12,(AF566*100)))),0)</f>
        <v>12</v>
      </c>
      <c r="AL572" s="2568"/>
      <c r="AM572" s="2569"/>
      <c r="AN572" s="595"/>
      <c r="AP572" s="2626">
        <f>AP569+(AP563*AP567)</f>
        <v>162253578.19999999</v>
      </c>
      <c r="AQ572" s="2627"/>
      <c r="AR572" s="2628"/>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1548</v>
      </c>
      <c r="B575" s="539" t="s">
        <v>2559</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25" t="s">
        <v>1307</v>
      </c>
      <c r="AF575" s="2425"/>
      <c r="AG575" s="2425"/>
      <c r="AH575" s="2425"/>
      <c r="AI575" s="2425"/>
      <c r="AJ575" s="2425"/>
      <c r="AK575" s="2425"/>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75" t="s">
        <v>1983</v>
      </c>
      <c r="C577" s="2475"/>
      <c r="D577" s="2475"/>
      <c r="E577" s="2475"/>
      <c r="F577" s="2475"/>
      <c r="G577" s="2475"/>
      <c r="H577" s="2475"/>
      <c r="I577" s="2475"/>
      <c r="J577" s="2475"/>
      <c r="K577" s="2475"/>
      <c r="L577" s="2475"/>
      <c r="M577" s="2475"/>
      <c r="N577" s="2475"/>
      <c r="O577" s="2475"/>
      <c r="P577" s="2475"/>
      <c r="Q577" s="2475"/>
      <c r="R577" s="2475"/>
      <c r="S577" s="2475"/>
      <c r="T577" s="2475"/>
      <c r="U577" s="2475"/>
      <c r="V577" s="2475"/>
      <c r="W577" s="2475"/>
      <c r="X577" s="2475"/>
      <c r="Y577" s="2475"/>
      <c r="Z577" s="2475"/>
      <c r="AA577" s="2475"/>
      <c r="AB577" s="2475"/>
      <c r="AC577" s="2475"/>
      <c r="AD577" s="2475"/>
      <c r="AE577" s="2475"/>
      <c r="AF577" s="2475"/>
      <c r="AG577" s="2475"/>
      <c r="AH577" s="2475"/>
      <c r="AI577" s="2475"/>
      <c r="AJ577" s="2475"/>
      <c r="AK577" s="640"/>
      <c r="AL577" s="571"/>
      <c r="AM577" s="601"/>
      <c r="AN577" s="595"/>
    </row>
    <row r="578" spans="1:42" s="549" customFormat="1" ht="12.75" customHeight="1">
      <c r="A578" s="601"/>
      <c r="B578" s="2475"/>
      <c r="C578" s="2475"/>
      <c r="D578" s="2475"/>
      <c r="E578" s="2475"/>
      <c r="F578" s="2475"/>
      <c r="G578" s="2475"/>
      <c r="H578" s="2475"/>
      <c r="I578" s="2475"/>
      <c r="J578" s="2475"/>
      <c r="K578" s="2475"/>
      <c r="L578" s="2475"/>
      <c r="M578" s="2475"/>
      <c r="N578" s="2475"/>
      <c r="O578" s="2475"/>
      <c r="P578" s="2475"/>
      <c r="Q578" s="2475"/>
      <c r="R578" s="2475"/>
      <c r="S578" s="2475"/>
      <c r="T578" s="2475"/>
      <c r="U578" s="2475"/>
      <c r="V578" s="2475"/>
      <c r="W578" s="2475"/>
      <c r="X578" s="2475"/>
      <c r="Y578" s="2475"/>
      <c r="Z578" s="2475"/>
      <c r="AA578" s="2475"/>
      <c r="AB578" s="2475"/>
      <c r="AC578" s="2475"/>
      <c r="AD578" s="2475"/>
      <c r="AE578" s="2475"/>
      <c r="AF578" s="2475"/>
      <c r="AG578" s="2475"/>
      <c r="AH578" s="2475"/>
      <c r="AI578" s="2475"/>
      <c r="AJ578" s="2475"/>
      <c r="AK578" s="640"/>
      <c r="AL578" s="571"/>
      <c r="AM578" s="601"/>
      <c r="AN578" s="595"/>
    </row>
    <row r="579" spans="1:42" s="549" customFormat="1" ht="12.75" customHeight="1">
      <c r="A579" s="601"/>
      <c r="B579" s="2475"/>
      <c r="C579" s="2475"/>
      <c r="D579" s="2475"/>
      <c r="E579" s="2475"/>
      <c r="F579" s="2475"/>
      <c r="G579" s="2475"/>
      <c r="H579" s="2475"/>
      <c r="I579" s="2475"/>
      <c r="J579" s="2475"/>
      <c r="K579" s="2475"/>
      <c r="L579" s="2475"/>
      <c r="M579" s="2475"/>
      <c r="N579" s="2475"/>
      <c r="O579" s="2475"/>
      <c r="P579" s="2475"/>
      <c r="Q579" s="2475"/>
      <c r="R579" s="2475"/>
      <c r="S579" s="2475"/>
      <c r="T579" s="2475"/>
      <c r="U579" s="2475"/>
      <c r="V579" s="2475"/>
      <c r="W579" s="2475"/>
      <c r="X579" s="2475"/>
      <c r="Y579" s="2475"/>
      <c r="Z579" s="2475"/>
      <c r="AA579" s="2475"/>
      <c r="AB579" s="2475"/>
      <c r="AC579" s="2475"/>
      <c r="AD579" s="2475"/>
      <c r="AE579" s="2475"/>
      <c r="AF579" s="2475"/>
      <c r="AG579" s="2475"/>
      <c r="AH579" s="2475"/>
      <c r="AI579" s="2475"/>
      <c r="AJ579" s="2475"/>
      <c r="AK579" s="640"/>
      <c r="AL579" s="571"/>
      <c r="AM579" s="601"/>
      <c r="AN579" s="595"/>
    </row>
    <row r="580" spans="1:42" s="549" customFormat="1" ht="12.75" customHeight="1">
      <c r="A580" s="601"/>
      <c r="B580" s="2475"/>
      <c r="C580" s="2475"/>
      <c r="D580" s="2475"/>
      <c r="E580" s="2475"/>
      <c r="F580" s="2475"/>
      <c r="G580" s="2475"/>
      <c r="H580" s="2475"/>
      <c r="I580" s="2475"/>
      <c r="J580" s="2475"/>
      <c r="K580" s="2475"/>
      <c r="L580" s="2475"/>
      <c r="M580" s="2475"/>
      <c r="N580" s="2475"/>
      <c r="O580" s="2475"/>
      <c r="P580" s="2475"/>
      <c r="Q580" s="2475"/>
      <c r="R580" s="2475"/>
      <c r="S580" s="2475"/>
      <c r="T580" s="2475"/>
      <c r="U580" s="2475"/>
      <c r="V580" s="2475"/>
      <c r="W580" s="2475"/>
      <c r="X580" s="2475"/>
      <c r="Y580" s="2475"/>
      <c r="Z580" s="2475"/>
      <c r="AA580" s="2475"/>
      <c r="AB580" s="2475"/>
      <c r="AC580" s="2475"/>
      <c r="AD580" s="2475"/>
      <c r="AE580" s="2475"/>
      <c r="AF580" s="2475"/>
      <c r="AG580" s="2475"/>
      <c r="AH580" s="2475"/>
      <c r="AI580" s="2475"/>
      <c r="AJ580" s="2475"/>
      <c r="AK580" s="640"/>
      <c r="AL580" s="571"/>
      <c r="AM580" s="601"/>
      <c r="AN580" s="595"/>
    </row>
    <row r="581" spans="1:42" s="549" customFormat="1" ht="12.75" customHeight="1">
      <c r="A581" s="601"/>
      <c r="B581" s="2475"/>
      <c r="C581" s="2475"/>
      <c r="D581" s="2475"/>
      <c r="E581" s="2475"/>
      <c r="F581" s="2475"/>
      <c r="G581" s="2475"/>
      <c r="H581" s="2475"/>
      <c r="I581" s="2475"/>
      <c r="J581" s="2475"/>
      <c r="K581" s="2475"/>
      <c r="L581" s="2475"/>
      <c r="M581" s="2475"/>
      <c r="N581" s="2475"/>
      <c r="O581" s="2475"/>
      <c r="P581" s="2475"/>
      <c r="Q581" s="2475"/>
      <c r="R581" s="2475"/>
      <c r="S581" s="2475"/>
      <c r="T581" s="2475"/>
      <c r="U581" s="2475"/>
      <c r="V581" s="2475"/>
      <c r="W581" s="2475"/>
      <c r="X581" s="2475"/>
      <c r="Y581" s="2475"/>
      <c r="Z581" s="2475"/>
      <c r="AA581" s="2475"/>
      <c r="AB581" s="2475"/>
      <c r="AC581" s="2475"/>
      <c r="AD581" s="2475"/>
      <c r="AE581" s="2475"/>
      <c r="AF581" s="2475"/>
      <c r="AG581" s="2475"/>
      <c r="AH581" s="2475"/>
      <c r="AI581" s="2475"/>
      <c r="AJ581" s="2475"/>
      <c r="AK581" s="640"/>
      <c r="AL581" s="571"/>
      <c r="AM581" s="601"/>
      <c r="AN581" s="595"/>
    </row>
    <row r="582" spans="1:42" s="549" customFormat="1" ht="12.75" customHeight="1">
      <c r="A582" s="601"/>
      <c r="B582" s="2475"/>
      <c r="C582" s="2475"/>
      <c r="D582" s="2475"/>
      <c r="E582" s="2475"/>
      <c r="F582" s="2475"/>
      <c r="G582" s="2475"/>
      <c r="H582" s="2475"/>
      <c r="I582" s="2475"/>
      <c r="J582" s="2475"/>
      <c r="K582" s="2475"/>
      <c r="L582" s="2475"/>
      <c r="M582" s="2475"/>
      <c r="N582" s="2475"/>
      <c r="O582" s="2475"/>
      <c r="P582" s="2475"/>
      <c r="Q582" s="2475"/>
      <c r="R582" s="2475"/>
      <c r="S582" s="2475"/>
      <c r="T582" s="2475"/>
      <c r="U582" s="2475"/>
      <c r="V582" s="2475"/>
      <c r="W582" s="2475"/>
      <c r="X582" s="2475"/>
      <c r="Y582" s="2475"/>
      <c r="Z582" s="2475"/>
      <c r="AA582" s="2475"/>
      <c r="AB582" s="2475"/>
      <c r="AC582" s="2475"/>
      <c r="AD582" s="2475"/>
      <c r="AE582" s="2475"/>
      <c r="AF582" s="2475"/>
      <c r="AG582" s="2475"/>
      <c r="AH582" s="2475"/>
      <c r="AI582" s="2475"/>
      <c r="AJ582" s="2475"/>
      <c r="AK582" s="640"/>
      <c r="AL582" s="571"/>
      <c r="AM582" s="601"/>
      <c r="AN582" s="595"/>
    </row>
    <row r="583" spans="1:42" s="549" customFormat="1" ht="12.75" customHeight="1">
      <c r="A583" s="601"/>
      <c r="B583" s="2475"/>
      <c r="C583" s="2475"/>
      <c r="D583" s="2475"/>
      <c r="E583" s="2475"/>
      <c r="F583" s="2475"/>
      <c r="G583" s="2475"/>
      <c r="H583" s="2475"/>
      <c r="I583" s="2475"/>
      <c r="J583" s="2475"/>
      <c r="K583" s="2475"/>
      <c r="L583" s="2475"/>
      <c r="M583" s="2475"/>
      <c r="N583" s="2475"/>
      <c r="O583" s="2475"/>
      <c r="P583" s="2475"/>
      <c r="Q583" s="2475"/>
      <c r="R583" s="2475"/>
      <c r="S583" s="2475"/>
      <c r="T583" s="2475"/>
      <c r="U583" s="2475"/>
      <c r="V583" s="2475"/>
      <c r="W583" s="2475"/>
      <c r="X583" s="2475"/>
      <c r="Y583" s="2475"/>
      <c r="Z583" s="2475"/>
      <c r="AA583" s="2475"/>
      <c r="AB583" s="2475"/>
      <c r="AC583" s="2475"/>
      <c r="AD583" s="2475"/>
      <c r="AE583" s="2475"/>
      <c r="AF583" s="2475"/>
      <c r="AG583" s="2475"/>
      <c r="AH583" s="2475"/>
      <c r="AI583" s="2475"/>
      <c r="AJ583" s="2475"/>
      <c r="AK583" s="640"/>
      <c r="AL583" s="571"/>
      <c r="AM583" s="601"/>
      <c r="AN583" s="595"/>
    </row>
    <row r="584" spans="1:42" ht="12.75" customHeight="1">
      <c r="A584" s="601"/>
      <c r="B584" s="2475"/>
      <c r="C584" s="2475"/>
      <c r="D584" s="2475"/>
      <c r="E584" s="2475"/>
      <c r="F584" s="2475"/>
      <c r="G584" s="2475"/>
      <c r="H584" s="2475"/>
      <c r="I584" s="2475"/>
      <c r="J584" s="2475"/>
      <c r="K584" s="2475"/>
      <c r="L584" s="2475"/>
      <c r="M584" s="2475"/>
      <c r="N584" s="2475"/>
      <c r="O584" s="2475"/>
      <c r="P584" s="2475"/>
      <c r="Q584" s="2475"/>
      <c r="R584" s="2475"/>
      <c r="S584" s="2475"/>
      <c r="T584" s="2475"/>
      <c r="U584" s="2475"/>
      <c r="V584" s="2475"/>
      <c r="W584" s="2475"/>
      <c r="X584" s="2475"/>
      <c r="Y584" s="2475"/>
      <c r="Z584" s="2475"/>
      <c r="AA584" s="2475"/>
      <c r="AB584" s="2475"/>
      <c r="AC584" s="2475"/>
      <c r="AD584" s="2475"/>
      <c r="AE584" s="2475"/>
      <c r="AF584" s="2475"/>
      <c r="AG584" s="2475"/>
      <c r="AH584" s="2475"/>
      <c r="AI584" s="2475"/>
      <c r="AJ584" s="2475"/>
      <c r="AK584" s="640"/>
      <c r="AL584" s="571"/>
      <c r="AM584" s="601"/>
    </row>
    <row r="585" spans="1:42" s="549" customFormat="1" ht="12.75" customHeight="1">
      <c r="B585" s="2475"/>
      <c r="C585" s="2475"/>
      <c r="D585" s="2475"/>
      <c r="E585" s="2475"/>
      <c r="F585" s="2475"/>
      <c r="G585" s="2475"/>
      <c r="H585" s="2475"/>
      <c r="I585" s="2475"/>
      <c r="J585" s="2475"/>
      <c r="K585" s="2475"/>
      <c r="L585" s="2475"/>
      <c r="M585" s="2475"/>
      <c r="N585" s="2475"/>
      <c r="O585" s="2475"/>
      <c r="P585" s="2475"/>
      <c r="Q585" s="2475"/>
      <c r="R585" s="2475"/>
      <c r="S585" s="2475"/>
      <c r="T585" s="2475"/>
      <c r="U585" s="2475"/>
      <c r="V585" s="2475"/>
      <c r="W585" s="2475"/>
      <c r="X585" s="2475"/>
      <c r="Y585" s="2475"/>
      <c r="Z585" s="2475"/>
      <c r="AA585" s="2475"/>
      <c r="AB585" s="2475"/>
      <c r="AC585" s="2475"/>
      <c r="AD585" s="2475"/>
      <c r="AE585" s="2475"/>
      <c r="AF585" s="2475"/>
      <c r="AG585" s="2475"/>
      <c r="AH585" s="2475"/>
      <c r="AI585" s="2475"/>
      <c r="AJ585" s="2475"/>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1385</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1386</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1686</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58" t="s">
        <v>1331</v>
      </c>
      <c r="AG591" s="2458"/>
      <c r="AH591" s="2458"/>
      <c r="AI591" s="2458"/>
      <c r="AJ591" s="2458"/>
      <c r="AK591" s="2458"/>
      <c r="AL591" s="2458"/>
      <c r="AN591" s="595"/>
    </row>
    <row r="592" spans="1:42" s="549" customFormat="1" ht="12.75" customHeight="1">
      <c r="B592" s="536"/>
      <c r="C592" s="614"/>
      <c r="D592" s="659"/>
      <c r="E592" s="834" t="s">
        <v>1687</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1688</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1689</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1690</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2127</v>
      </c>
      <c r="AP595" s="549" t="b">
        <f>IF(Application!AF427&gt;=25,TRUE,FALSE)</f>
        <v>1</v>
      </c>
    </row>
    <row r="596" spans="1:42" s="549" customFormat="1" ht="12.75" customHeight="1">
      <c r="B596" s="536"/>
      <c r="C596" s="614"/>
      <c r="D596" s="659"/>
      <c r="E596" s="834" t="s">
        <v>1691</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1692</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58" t="s">
        <v>1387</v>
      </c>
      <c r="AG598" s="2458"/>
      <c r="AH598" s="2458"/>
      <c r="AI598" s="2458"/>
      <c r="AJ598" s="2458"/>
      <c r="AK598" s="2458"/>
      <c r="AL598" s="2458"/>
      <c r="AN598" s="595"/>
    </row>
    <row r="599" spans="1:42" s="549" customFormat="1" ht="12.75" customHeight="1">
      <c r="B599" s="536"/>
      <c r="C599" s="929"/>
      <c r="D599" s="659"/>
      <c r="E599" s="834" t="s">
        <v>1693</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1694</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1696</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1388</v>
      </c>
      <c r="AP603" s="549">
        <v>4</v>
      </c>
    </row>
    <row r="604" spans="1:42" s="549" customFormat="1" ht="12.75" customHeight="1">
      <c r="B604" s="536"/>
      <c r="C604" s="927"/>
      <c r="D604" s="659" t="s">
        <v>278</v>
      </c>
      <c r="E604" s="834" t="s">
        <v>1697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58" t="s">
        <v>1370</v>
      </c>
      <c r="AG604" s="2458"/>
      <c r="AH604" s="2458"/>
      <c r="AI604" s="2458"/>
      <c r="AJ604" s="2458"/>
      <c r="AK604" s="2458"/>
      <c r="AL604" s="2458"/>
      <c r="AN604" s="595"/>
      <c r="AO604" s="609" t="s">
        <v>1389</v>
      </c>
      <c r="AP604" s="549">
        <v>3</v>
      </c>
    </row>
    <row r="605" spans="1:42" s="549" customFormat="1" ht="12.75" customHeight="1">
      <c r="B605" s="536"/>
      <c r="C605" s="929"/>
      <c r="D605" s="659"/>
      <c r="E605" s="834" t="s">
        <v>1693</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1694</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2130</v>
      </c>
    </row>
    <row r="607" spans="1:42" s="549" customFormat="1" ht="12.75" customHeight="1">
      <c r="B607" s="536"/>
      <c r="C607" s="929"/>
      <c r="D607" s="659"/>
      <c r="E607" s="834" t="s">
        <v>1696</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2131</v>
      </c>
    </row>
    <row r="608" spans="1:42" s="549" customFormat="1" ht="12.75" customHeight="1">
      <c r="B608" s="536"/>
      <c r="C608" s="929"/>
      <c r="D608" s="659"/>
      <c r="E608" s="834" t="s">
        <v>1695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1388</v>
      </c>
      <c r="E610" s="834" t="s">
        <v>1698</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58" t="s">
        <v>1390</v>
      </c>
      <c r="AG610" s="2458"/>
      <c r="AH610" s="2458"/>
      <c r="AI610" s="2458"/>
      <c r="AJ610" s="2458"/>
      <c r="AK610" s="2458"/>
      <c r="AL610" s="2458"/>
      <c r="AN610" s="595"/>
      <c r="AO610" s="549" t="str">
        <f>X647</f>
        <v>N/A</v>
      </c>
    </row>
    <row r="611" spans="1:53" s="549" customFormat="1" ht="12.75" customHeight="1">
      <c r="B611" s="536"/>
      <c r="C611" s="929"/>
      <c r="D611" s="659"/>
      <c r="E611" s="834" t="s">
        <v>1699</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1700</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2133</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2134</v>
      </c>
    </row>
    <row r="614" spans="1:53" s="549" customFormat="1" ht="12.75" customHeight="1">
      <c r="B614" s="608"/>
      <c r="C614" s="927"/>
      <c r="D614" s="659"/>
      <c r="E614" s="536" t="s">
        <v>1838</v>
      </c>
      <c r="O614" s="2540" t="s">
        <v>1183</v>
      </c>
      <c r="P614" s="2540"/>
      <c r="Q614" s="2540"/>
      <c r="R614" s="2540"/>
      <c r="S614" s="2540"/>
      <c r="T614" s="2540"/>
      <c r="U614" s="2540"/>
      <c r="V614" s="2540"/>
      <c r="W614" s="2540"/>
      <c r="X614" s="2540"/>
      <c r="Y614" s="2540"/>
      <c r="Z614" s="2540"/>
      <c r="AA614" s="2540"/>
      <c r="AB614" s="2540"/>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1389</v>
      </c>
      <c r="E616" s="834" t="s">
        <v>1702</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58" t="s">
        <v>1345</v>
      </c>
      <c r="AG616" s="2458"/>
      <c r="AH616" s="2458"/>
      <c r="AI616" s="2458"/>
      <c r="AJ616" s="2458"/>
      <c r="AK616" s="2458"/>
      <c r="AL616" s="2458"/>
      <c r="AN616" s="595"/>
    </row>
    <row r="617" spans="1:53" s="549" customFormat="1" ht="12.75" customHeight="1">
      <c r="B617" s="536"/>
      <c r="C617" s="927"/>
      <c r="D617" s="659"/>
      <c r="E617" s="834" t="s">
        <v>1701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1391</v>
      </c>
      <c r="E619" s="932"/>
      <c r="F619" s="932"/>
      <c r="G619" s="932"/>
      <c r="H619" s="2538" t="s">
        <v>686</v>
      </c>
      <c r="I619" s="2538"/>
      <c r="J619" s="932"/>
      <c r="K619" s="932"/>
      <c r="L619" s="932"/>
      <c r="N619" s="22"/>
      <c r="O619" s="22"/>
      <c r="P619" s="22"/>
      <c r="Q619" s="1145" t="s">
        <v>2129</v>
      </c>
      <c r="R619" s="2541"/>
      <c r="S619" s="2541"/>
      <c r="T619" s="2541"/>
      <c r="U619" s="2541"/>
      <c r="V619" s="2541"/>
      <c r="W619" s="2541"/>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42" t="str">
        <f>IF(AND(H619="(i)",NOT(AP595)),AO612,IF(AND(H619="(iv)",OR(R619=AO608,R619=AO607),NOT(AP596)),AO613,""))</f>
        <v/>
      </c>
      <c r="Z620" s="2542"/>
      <c r="AA620" s="2542"/>
      <c r="AB620" s="2542"/>
      <c r="AC620" s="2542"/>
      <c r="AD620" s="2542"/>
      <c r="AE620" s="2542"/>
      <c r="AF620" s="2542"/>
      <c r="AG620" s="2542"/>
      <c r="AH620" s="2542"/>
      <c r="AI620" s="2542"/>
      <c r="AJ620" s="2542"/>
      <c r="AK620" s="2542"/>
      <c r="AL620" s="2542"/>
      <c r="AM620" s="2543"/>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42"/>
      <c r="Z621" s="2542"/>
      <c r="AA621" s="2542"/>
      <c r="AB621" s="2542"/>
      <c r="AC621" s="2542"/>
      <c r="AD621" s="2542"/>
      <c r="AE621" s="2542"/>
      <c r="AF621" s="2542"/>
      <c r="AG621" s="2542"/>
      <c r="AH621" s="2542"/>
      <c r="AI621" s="2542"/>
      <c r="AJ621" s="2542"/>
      <c r="AK621" s="2542"/>
      <c r="AL621" s="2542"/>
      <c r="AM621" s="2543"/>
      <c r="AN621" s="595"/>
      <c r="AO621" s="609"/>
      <c r="AT621" s="609"/>
    </row>
    <row r="622" spans="1:53" s="549" customFormat="1" ht="12.75" customHeight="1">
      <c r="B622" s="536"/>
      <c r="C622" s="929"/>
      <c r="D622" s="536" t="s">
        <v>1703</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1704</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1705</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1706</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1391</v>
      </c>
      <c r="F627" s="932"/>
      <c r="G627" s="932"/>
      <c r="I627" s="2539" t="s">
        <v>590</v>
      </c>
      <c r="J627" s="2539"/>
      <c r="K627" s="2539"/>
      <c r="L627" s="2539"/>
      <c r="M627" s="2539"/>
      <c r="N627" s="2539"/>
      <c r="O627" s="2539"/>
      <c r="P627" s="2539"/>
      <c r="Q627" s="2539"/>
      <c r="R627" s="2539"/>
      <c r="S627" s="2539"/>
      <c r="T627" s="2539"/>
      <c r="U627" s="2539"/>
      <c r="V627" s="2539"/>
      <c r="W627" s="2539"/>
      <c r="X627" s="2539"/>
      <c r="Y627" s="2539"/>
      <c r="Z627" s="2539"/>
      <c r="AA627" s="2539"/>
      <c r="AB627" s="2539"/>
      <c r="AC627" s="2539"/>
      <c r="AD627" s="2539"/>
      <c r="AE627" s="2539"/>
      <c r="AF627" s="536"/>
      <c r="AG627" s="536"/>
      <c r="AH627" s="536"/>
      <c r="AI627" s="536"/>
      <c r="AJ627" s="536"/>
      <c r="AK627" s="536"/>
      <c r="AL627" s="536"/>
      <c r="AN627" s="595"/>
      <c r="AO627" s="549" t="s">
        <v>1392</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1393</v>
      </c>
      <c r="AP628" s="549">
        <v>2</v>
      </c>
    </row>
    <row r="629" spans="1:42" s="549" customFormat="1" ht="12.75" customHeight="1">
      <c r="B629" s="2470" t="s">
        <v>590</v>
      </c>
      <c r="C629" s="2470"/>
      <c r="D629" s="640"/>
      <c r="E629" s="2475" t="s">
        <v>1394</v>
      </c>
      <c r="F629" s="2475"/>
      <c r="G629" s="2475"/>
      <c r="H629" s="2475"/>
      <c r="I629" s="2475"/>
      <c r="J629" s="2475"/>
      <c r="K629" s="2475"/>
      <c r="L629" s="2475"/>
      <c r="M629" s="2475"/>
      <c r="N629" s="2475"/>
      <c r="O629" s="2475"/>
      <c r="P629" s="2475"/>
      <c r="Q629" s="2475"/>
      <c r="R629" s="2475"/>
      <c r="S629" s="2475"/>
      <c r="T629" s="2475"/>
      <c r="U629" s="2475"/>
      <c r="V629" s="2475"/>
      <c r="W629" s="2475"/>
      <c r="X629" s="2475"/>
      <c r="Y629" s="2475"/>
      <c r="Z629" s="2475"/>
      <c r="AA629" s="2475"/>
      <c r="AB629" s="2475"/>
      <c r="AC629" s="2475"/>
      <c r="AD629" s="2475"/>
      <c r="AE629" s="2475"/>
      <c r="AF629" s="2475"/>
      <c r="AG629" s="2475"/>
      <c r="AH629" s="640"/>
      <c r="AI629" s="640"/>
      <c r="AJ629" s="640"/>
      <c r="AK629" s="640"/>
      <c r="AL629" s="640"/>
      <c r="AN629" s="595"/>
    </row>
    <row r="630" spans="1:42" s="549" customFormat="1" ht="12.75" customHeight="1">
      <c r="B630" s="536"/>
      <c r="C630" s="929"/>
      <c r="D630" s="640"/>
      <c r="E630" s="2475"/>
      <c r="F630" s="2475"/>
      <c r="G630" s="2475"/>
      <c r="H630" s="2475"/>
      <c r="I630" s="2475"/>
      <c r="J630" s="2475"/>
      <c r="K630" s="2475"/>
      <c r="L630" s="2475"/>
      <c r="M630" s="2475"/>
      <c r="N630" s="2475"/>
      <c r="O630" s="2475"/>
      <c r="P630" s="2475"/>
      <c r="Q630" s="2475"/>
      <c r="R630" s="2475"/>
      <c r="S630" s="2475"/>
      <c r="T630" s="2475"/>
      <c r="U630" s="2475"/>
      <c r="V630" s="2475"/>
      <c r="W630" s="2475"/>
      <c r="X630" s="2475"/>
      <c r="Y630" s="2475"/>
      <c r="Z630" s="2475"/>
      <c r="AA630" s="2475"/>
      <c r="AB630" s="2475"/>
      <c r="AC630" s="2475"/>
      <c r="AD630" s="2475"/>
      <c r="AE630" s="2475"/>
      <c r="AF630" s="2475"/>
      <c r="AG630" s="2475"/>
      <c r="AH630" s="640"/>
      <c r="AI630" s="640"/>
      <c r="AJ630" s="640"/>
      <c r="AK630" s="640"/>
      <c r="AL630" s="640"/>
      <c r="AN630" s="595"/>
    </row>
    <row r="631" spans="1:42" s="549" customFormat="1" ht="12.75" customHeight="1">
      <c r="B631" s="536"/>
      <c r="C631" s="929"/>
      <c r="D631" s="640"/>
      <c r="E631" s="2475"/>
      <c r="F631" s="2475"/>
      <c r="G631" s="2475"/>
      <c r="H631" s="2475"/>
      <c r="I631" s="2475"/>
      <c r="J631" s="2475"/>
      <c r="K631" s="2475"/>
      <c r="L631" s="2475"/>
      <c r="M631" s="2475"/>
      <c r="N631" s="2475"/>
      <c r="O631" s="2475"/>
      <c r="P631" s="2475"/>
      <c r="Q631" s="2475"/>
      <c r="R631" s="2475"/>
      <c r="S631" s="2475"/>
      <c r="T631" s="2475"/>
      <c r="U631" s="2475"/>
      <c r="V631" s="2475"/>
      <c r="W631" s="2475"/>
      <c r="X631" s="2475"/>
      <c r="Y631" s="2475"/>
      <c r="Z631" s="2475"/>
      <c r="AA631" s="2475"/>
      <c r="AB631" s="2475"/>
      <c r="AC631" s="2475"/>
      <c r="AD631" s="2475"/>
      <c r="AE631" s="2475"/>
      <c r="AF631" s="2475"/>
      <c r="AG631" s="2475"/>
      <c r="AH631" s="640"/>
      <c r="AI631" s="640"/>
      <c r="AJ631" s="640"/>
      <c r="AK631" s="640"/>
      <c r="AL631" s="640"/>
      <c r="AN631" s="595"/>
    </row>
    <row r="632" spans="1:42" s="549" customFormat="1" ht="12.75" customHeight="1">
      <c r="B632" s="536"/>
      <c r="C632" s="929"/>
      <c r="D632" s="640"/>
      <c r="E632" s="2475"/>
      <c r="F632" s="2475"/>
      <c r="G632" s="2475"/>
      <c r="H632" s="2475"/>
      <c r="I632" s="2475"/>
      <c r="J632" s="2475"/>
      <c r="K632" s="2475"/>
      <c r="L632" s="2475"/>
      <c r="M632" s="2475"/>
      <c r="N632" s="2475"/>
      <c r="O632" s="2475"/>
      <c r="P632" s="2475"/>
      <c r="Q632" s="2475"/>
      <c r="R632" s="2475"/>
      <c r="S632" s="2475"/>
      <c r="T632" s="2475"/>
      <c r="U632" s="2475"/>
      <c r="V632" s="2475"/>
      <c r="W632" s="2475"/>
      <c r="X632" s="2475"/>
      <c r="Y632" s="2475"/>
      <c r="Z632" s="2475"/>
      <c r="AA632" s="2475"/>
      <c r="AB632" s="2475"/>
      <c r="AC632" s="2475"/>
      <c r="AD632" s="2475"/>
      <c r="AE632" s="2475"/>
      <c r="AF632" s="2475"/>
      <c r="AG632" s="2475"/>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1395</v>
      </c>
      <c r="AJ634" s="2483">
        <f>VLOOKUP($H$619,$AO$599:$AP$604,2,FALSE)+IF(R619=AO607,0,VLOOKUP($I$627,$AO$626:$AP$628,2,FALSE))</f>
        <v>7</v>
      </c>
      <c r="AK634" s="2485"/>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1396</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37" t="s">
        <v>1682</v>
      </c>
      <c r="F638" s="2537"/>
      <c r="G638" s="2537"/>
      <c r="H638" s="2537"/>
      <c r="I638" s="2537"/>
      <c r="J638" s="2537"/>
      <c r="K638" s="2537"/>
      <c r="L638" s="2537"/>
      <c r="M638" s="2537"/>
      <c r="N638" s="2537"/>
      <c r="O638" s="2537"/>
      <c r="P638" s="2537"/>
      <c r="Q638" s="2537"/>
      <c r="R638" s="2537"/>
      <c r="S638" s="2537"/>
      <c r="T638" s="2537"/>
      <c r="U638" s="2537"/>
      <c r="V638" s="2537"/>
      <c r="W638" s="2537"/>
      <c r="X638" s="2537"/>
      <c r="Y638" s="2537"/>
      <c r="Z638" s="2537"/>
      <c r="AA638" s="2537"/>
      <c r="AB638" s="2537"/>
      <c r="AC638" s="2537"/>
      <c r="AD638" s="2537"/>
      <c r="AE638" s="539"/>
      <c r="AF638" s="2458" t="s">
        <v>1345</v>
      </c>
      <c r="AG638" s="2458"/>
      <c r="AH638" s="2458"/>
      <c r="AI638" s="2458"/>
      <c r="AJ638" s="2458"/>
      <c r="AK638" s="2458"/>
      <c r="AL638" s="2458"/>
      <c r="AM638" s="549"/>
      <c r="AN638" s="674"/>
    </row>
    <row r="639" spans="1:42" s="549" customFormat="1" ht="12.75" customHeight="1">
      <c r="A639" s="675"/>
      <c r="B639" s="536"/>
      <c r="C639" s="929"/>
      <c r="D639" s="659"/>
      <c r="E639" s="2537"/>
      <c r="F639" s="2537"/>
      <c r="G639" s="2537"/>
      <c r="H639" s="2537"/>
      <c r="I639" s="2537"/>
      <c r="J639" s="2537"/>
      <c r="K639" s="2537"/>
      <c r="L639" s="2537"/>
      <c r="M639" s="2537"/>
      <c r="N639" s="2537"/>
      <c r="O639" s="2537"/>
      <c r="P639" s="2537"/>
      <c r="Q639" s="2537"/>
      <c r="R639" s="2537"/>
      <c r="S639" s="2537"/>
      <c r="T639" s="2537"/>
      <c r="U639" s="2537"/>
      <c r="V639" s="2537"/>
      <c r="W639" s="2537"/>
      <c r="X639" s="2537"/>
      <c r="Y639" s="2537"/>
      <c r="Z639" s="2537"/>
      <c r="AA639" s="2537"/>
      <c r="AB639" s="2537"/>
      <c r="AC639" s="2537"/>
      <c r="AD639" s="2537"/>
      <c r="AE639" s="536"/>
      <c r="AF639" s="536"/>
      <c r="AG639" s="536"/>
      <c r="AH639" s="536"/>
      <c r="AI639" s="536"/>
      <c r="AJ639" s="536"/>
      <c r="AK639" s="536"/>
      <c r="AL639" s="536"/>
      <c r="AN639" s="595"/>
    </row>
    <row r="640" spans="1:42" s="549" customFormat="1" ht="12.75" customHeight="1">
      <c r="B640" s="536"/>
      <c r="C640" s="927"/>
      <c r="D640" s="659"/>
      <c r="E640" s="2537"/>
      <c r="F640" s="2537"/>
      <c r="G640" s="2537"/>
      <c r="H640" s="2537"/>
      <c r="I640" s="2537"/>
      <c r="J640" s="2537"/>
      <c r="K640" s="2537"/>
      <c r="L640" s="2537"/>
      <c r="M640" s="2537"/>
      <c r="N640" s="2537"/>
      <c r="O640" s="2537"/>
      <c r="P640" s="2537"/>
      <c r="Q640" s="2537"/>
      <c r="R640" s="2537"/>
      <c r="S640" s="2537"/>
      <c r="T640" s="2537"/>
      <c r="U640" s="2537"/>
      <c r="V640" s="2537"/>
      <c r="W640" s="2537"/>
      <c r="X640" s="2537"/>
      <c r="Y640" s="2537"/>
      <c r="Z640" s="2537"/>
      <c r="AA640" s="2537"/>
      <c r="AB640" s="2537"/>
      <c r="AC640" s="2537"/>
      <c r="AD640" s="2537"/>
      <c r="AE640" s="536"/>
      <c r="AF640" s="536"/>
      <c r="AG640" s="536"/>
      <c r="AH640" s="536"/>
      <c r="AI640" s="536"/>
      <c r="AJ640" s="536"/>
      <c r="AK640" s="536"/>
      <c r="AL640" s="536"/>
      <c r="AN640" s="595"/>
    </row>
    <row r="641" spans="1:42" s="549" customFormat="1" ht="12.75" customHeight="1">
      <c r="B641" s="536"/>
      <c r="C641" s="927"/>
      <c r="D641" s="659"/>
      <c r="E641" s="2537"/>
      <c r="F641" s="2537"/>
      <c r="G641" s="2537"/>
      <c r="H641" s="2537"/>
      <c r="I641" s="2537"/>
      <c r="J641" s="2537"/>
      <c r="K641" s="2537"/>
      <c r="L641" s="2537"/>
      <c r="M641" s="2537"/>
      <c r="N641" s="2537"/>
      <c r="O641" s="2537"/>
      <c r="P641" s="2537"/>
      <c r="Q641" s="2537"/>
      <c r="R641" s="2537"/>
      <c r="S641" s="2537"/>
      <c r="T641" s="2537"/>
      <c r="U641" s="2537"/>
      <c r="V641" s="2537"/>
      <c r="W641" s="2537"/>
      <c r="X641" s="2537"/>
      <c r="Y641" s="2537"/>
      <c r="Z641" s="2537"/>
      <c r="AA641" s="2537"/>
      <c r="AB641" s="2537"/>
      <c r="AC641" s="2537"/>
      <c r="AD641" s="2537"/>
      <c r="AE641" s="536"/>
      <c r="AF641" s="536"/>
      <c r="AG641" s="536"/>
      <c r="AH641" s="536"/>
      <c r="AI641" s="536"/>
      <c r="AJ641" s="536"/>
      <c r="AK641" s="536"/>
      <c r="AL641" s="536"/>
      <c r="AN641" s="595"/>
    </row>
    <row r="642" spans="1:42" s="549" customFormat="1" ht="12.75" customHeight="1">
      <c r="B642" s="536"/>
      <c r="C642" s="927"/>
      <c r="D642" s="659"/>
      <c r="E642" s="2537"/>
      <c r="F642" s="2537"/>
      <c r="G642" s="2537"/>
      <c r="H642" s="2537"/>
      <c r="I642" s="2537"/>
      <c r="J642" s="2537"/>
      <c r="K642" s="2537"/>
      <c r="L642" s="2537"/>
      <c r="M642" s="2537"/>
      <c r="N642" s="2537"/>
      <c r="O642" s="2537"/>
      <c r="P642" s="2537"/>
      <c r="Q642" s="2537"/>
      <c r="R642" s="2537"/>
      <c r="S642" s="2537"/>
      <c r="T642" s="2537"/>
      <c r="U642" s="2537"/>
      <c r="V642" s="2537"/>
      <c r="W642" s="2537"/>
      <c r="X642" s="2537"/>
      <c r="Y642" s="2537"/>
      <c r="Z642" s="2537"/>
      <c r="AA642" s="2537"/>
      <c r="AB642" s="2537"/>
      <c r="AC642" s="2537"/>
      <c r="AD642" s="2537"/>
      <c r="AE642" s="536"/>
      <c r="AF642" s="536"/>
      <c r="AG642" s="536"/>
      <c r="AH642" s="536"/>
      <c r="AI642" s="536"/>
      <c r="AJ642" s="536"/>
      <c r="AK642" s="536"/>
      <c r="AL642" s="536"/>
      <c r="AN642" s="595"/>
    </row>
    <row r="643" spans="1:42" s="549" customFormat="1" ht="12.75" customHeight="1">
      <c r="B643" s="536"/>
      <c r="C643" s="927"/>
      <c r="D643" s="659"/>
      <c r="E643" s="2537"/>
      <c r="F643" s="2537"/>
      <c r="G643" s="2537"/>
      <c r="H643" s="2537"/>
      <c r="I643" s="2537"/>
      <c r="J643" s="2537"/>
      <c r="K643" s="2537"/>
      <c r="L643" s="2537"/>
      <c r="M643" s="2537"/>
      <c r="N643" s="2537"/>
      <c r="O643" s="2537"/>
      <c r="P643" s="2537"/>
      <c r="Q643" s="2537"/>
      <c r="R643" s="2537"/>
      <c r="S643" s="2537"/>
      <c r="T643" s="2537"/>
      <c r="U643" s="2537"/>
      <c r="V643" s="2537"/>
      <c r="W643" s="2537"/>
      <c r="X643" s="2537"/>
      <c r="Y643" s="2537"/>
      <c r="Z643" s="2537"/>
      <c r="AA643" s="2537"/>
      <c r="AB643" s="2537"/>
      <c r="AC643" s="2537"/>
      <c r="AD643" s="2537"/>
      <c r="AE643" s="536"/>
      <c r="AF643" s="536"/>
      <c r="AG643" s="536"/>
      <c r="AH643" s="536"/>
      <c r="AI643" s="536"/>
      <c r="AJ643" s="536"/>
      <c r="AK643" s="536"/>
      <c r="AL643" s="536"/>
      <c r="AN643" s="595"/>
    </row>
    <row r="644" spans="1:42" s="549" customFormat="1" ht="12.75" customHeight="1">
      <c r="A644" s="635"/>
      <c r="B644" s="614"/>
      <c r="C644" s="936"/>
      <c r="D644" s="659"/>
      <c r="E644" s="2537"/>
      <c r="F644" s="2537"/>
      <c r="G644" s="2537"/>
      <c r="H644" s="2537"/>
      <c r="I644" s="2537"/>
      <c r="J644" s="2537"/>
      <c r="K644" s="2537"/>
      <c r="L644" s="2537"/>
      <c r="M644" s="2537"/>
      <c r="N644" s="2537"/>
      <c r="O644" s="2537"/>
      <c r="P644" s="2537"/>
      <c r="Q644" s="2537"/>
      <c r="R644" s="2537"/>
      <c r="S644" s="2537"/>
      <c r="T644" s="2537"/>
      <c r="U644" s="2537"/>
      <c r="V644" s="2537"/>
      <c r="W644" s="2537"/>
      <c r="X644" s="2537"/>
      <c r="Y644" s="2537"/>
      <c r="Z644" s="2537"/>
      <c r="AA644" s="2537"/>
      <c r="AB644" s="2537"/>
      <c r="AC644" s="2537"/>
      <c r="AD644" s="2537"/>
      <c r="AE644" s="614"/>
      <c r="AF644" s="614"/>
      <c r="AG644" s="614"/>
      <c r="AH644" s="614"/>
      <c r="AI644" s="614"/>
      <c r="AJ644" s="614"/>
      <c r="AK644" s="536"/>
      <c r="AL644" s="536"/>
      <c r="AN644" s="595"/>
    </row>
    <row r="645" spans="1:42" s="549" customFormat="1" ht="12.75" customHeight="1">
      <c r="B645" s="614"/>
      <c r="C645" s="936"/>
      <c r="D645" s="659"/>
      <c r="E645" s="2537"/>
      <c r="F645" s="2537"/>
      <c r="G645" s="2537"/>
      <c r="H645" s="2537"/>
      <c r="I645" s="2537"/>
      <c r="J645" s="2537"/>
      <c r="K645" s="2537"/>
      <c r="L645" s="2537"/>
      <c r="M645" s="2537"/>
      <c r="N645" s="2537"/>
      <c r="O645" s="2537"/>
      <c r="P645" s="2537"/>
      <c r="Q645" s="2537"/>
      <c r="R645" s="2537"/>
      <c r="S645" s="2537"/>
      <c r="T645" s="2537"/>
      <c r="U645" s="2537"/>
      <c r="V645" s="2537"/>
      <c r="W645" s="2537"/>
      <c r="X645" s="2537"/>
      <c r="Y645" s="2537"/>
      <c r="Z645" s="2537"/>
      <c r="AA645" s="2537"/>
      <c r="AB645" s="2537"/>
      <c r="AC645" s="2537"/>
      <c r="AD645" s="2537"/>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1397</v>
      </c>
      <c r="F647" s="937"/>
      <c r="G647" s="937"/>
      <c r="H647" s="937"/>
      <c r="I647" s="937"/>
      <c r="J647" s="937"/>
      <c r="K647" s="937"/>
      <c r="L647" s="937"/>
      <c r="M647" s="937"/>
      <c r="N647" s="937"/>
      <c r="O647" s="937"/>
      <c r="P647" s="937"/>
      <c r="Q647" s="937"/>
      <c r="R647" s="937"/>
      <c r="U647" s="937"/>
      <c r="V647" s="937"/>
      <c r="W647" s="937"/>
      <c r="X647" s="2470" t="s">
        <v>590</v>
      </c>
      <c r="Y647" s="2470"/>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1398</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58" t="s">
        <v>1399</v>
      </c>
      <c r="AG649" s="2458"/>
      <c r="AH649" s="2458"/>
      <c r="AI649" s="2458"/>
      <c r="AJ649" s="2458"/>
      <c r="AK649" s="2458"/>
      <c r="AL649" s="2458"/>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1388</v>
      </c>
      <c r="AP650" s="676">
        <v>4</v>
      </c>
    </row>
    <row r="651" spans="1:42" s="549" customFormat="1" ht="12.75" customHeight="1">
      <c r="B651" s="536"/>
      <c r="C651" s="927"/>
      <c r="D651" s="536" t="s">
        <v>1391</v>
      </c>
      <c r="E651" s="932"/>
      <c r="F651" s="932"/>
      <c r="G651" s="932"/>
      <c r="H651" s="2538" t="s">
        <v>686</v>
      </c>
      <c r="I651" s="2538"/>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1400</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1401</v>
      </c>
      <c r="AJ653" s="2483">
        <f>VLOOKUP($H$651,$AO$618:$AP$620,2,FALSE)</f>
        <v>3</v>
      </c>
      <c r="AK653" s="2485"/>
      <c r="AL653" s="593"/>
      <c r="AN653" s="595"/>
      <c r="AO653" s="609" t="s">
        <v>1402</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1403</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475" t="s">
        <v>2051</v>
      </c>
      <c r="F657" s="2475"/>
      <c r="G657" s="2475"/>
      <c r="H657" s="2475"/>
      <c r="I657" s="2475"/>
      <c r="J657" s="2475"/>
      <c r="K657" s="2475"/>
      <c r="L657" s="2475"/>
      <c r="M657" s="2475"/>
      <c r="N657" s="2475"/>
      <c r="O657" s="2475"/>
      <c r="P657" s="2475"/>
      <c r="Q657" s="2475"/>
      <c r="R657" s="2475"/>
      <c r="S657" s="2475"/>
      <c r="T657" s="2475"/>
      <c r="U657" s="2475"/>
      <c r="V657" s="2475"/>
      <c r="W657" s="2475"/>
      <c r="X657" s="2475"/>
      <c r="Y657" s="2475"/>
      <c r="Z657" s="2475"/>
      <c r="AA657" s="2475"/>
      <c r="AB657" s="2475"/>
      <c r="AC657" s="2475"/>
      <c r="AD657" s="2475"/>
      <c r="AE657" s="536"/>
      <c r="AF657" s="2458" t="s">
        <v>1345</v>
      </c>
      <c r="AG657" s="2458"/>
      <c r="AH657" s="2458"/>
      <c r="AI657" s="2458"/>
      <c r="AJ657" s="2458"/>
      <c r="AK657" s="2458"/>
      <c r="AL657" s="2458"/>
      <c r="AN657" s="595"/>
    </row>
    <row r="658" spans="1:42" s="549" customFormat="1" ht="12.75" customHeight="1">
      <c r="B658" s="536"/>
      <c r="C658" s="536"/>
      <c r="D658" s="659"/>
      <c r="E658" s="2475"/>
      <c r="F658" s="2475"/>
      <c r="G658" s="2475"/>
      <c r="H658" s="2475"/>
      <c r="I658" s="2475"/>
      <c r="J658" s="2475"/>
      <c r="K658" s="2475"/>
      <c r="L658" s="2475"/>
      <c r="M658" s="2475"/>
      <c r="N658" s="2475"/>
      <c r="O658" s="2475"/>
      <c r="P658" s="2475"/>
      <c r="Q658" s="2475"/>
      <c r="R658" s="2475"/>
      <c r="S658" s="2475"/>
      <c r="T658" s="2475"/>
      <c r="U658" s="2475"/>
      <c r="V658" s="2475"/>
      <c r="W658" s="2475"/>
      <c r="X658" s="2475"/>
      <c r="Y658" s="2475"/>
      <c r="Z658" s="2475"/>
      <c r="AA658" s="2475"/>
      <c r="AB658" s="2475"/>
      <c r="AC658" s="2475"/>
      <c r="AD658" s="2475"/>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1404</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58" t="s">
        <v>1399</v>
      </c>
      <c r="AG660" s="2458"/>
      <c r="AH660" s="2458"/>
      <c r="AI660" s="2458"/>
      <c r="AJ660" s="2458"/>
      <c r="AK660" s="2458"/>
      <c r="AL660" s="2458"/>
      <c r="AN660" s="595"/>
    </row>
    <row r="661" spans="1:42" s="549" customFormat="1" ht="12.75" customHeight="1">
      <c r="B661" s="536"/>
      <c r="C661" s="927"/>
      <c r="D661" s="659"/>
      <c r="E661" s="614" t="s">
        <v>1405</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1391</v>
      </c>
      <c r="E663" s="932"/>
      <c r="F663" s="932"/>
      <c r="G663" s="932"/>
      <c r="H663" s="2538" t="s">
        <v>686</v>
      </c>
      <c r="I663" s="2538"/>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1406</v>
      </c>
      <c r="AJ665" s="2483">
        <f>VLOOKUP(H663,AT618:AU620,2,FALSE)</f>
        <v>3</v>
      </c>
      <c r="AK665" s="2485"/>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1407</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1408</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475" t="s">
        <v>1409</v>
      </c>
      <c r="F670" s="2475"/>
      <c r="G670" s="2475"/>
      <c r="H670" s="2475"/>
      <c r="I670" s="2475"/>
      <c r="J670" s="2475"/>
      <c r="K670" s="2475"/>
      <c r="L670" s="2475"/>
      <c r="M670" s="2475"/>
      <c r="N670" s="2475"/>
      <c r="O670" s="2475"/>
      <c r="P670" s="2475"/>
      <c r="Q670" s="2475"/>
      <c r="R670" s="2475"/>
      <c r="S670" s="2475"/>
      <c r="T670" s="2475"/>
      <c r="U670" s="2475"/>
      <c r="V670" s="2475"/>
      <c r="W670" s="2475"/>
      <c r="X670" s="2475"/>
      <c r="Y670" s="2475"/>
      <c r="Z670" s="2475"/>
      <c r="AA670" s="2475"/>
      <c r="AB670" s="2475"/>
      <c r="AC670" s="2475"/>
      <c r="AD670" s="536"/>
      <c r="AE670" s="536"/>
      <c r="AF670" s="2458" t="s">
        <v>1370</v>
      </c>
      <c r="AG670" s="2458"/>
      <c r="AH670" s="2458"/>
      <c r="AI670" s="2458"/>
      <c r="AJ670" s="2458"/>
      <c r="AK670" s="2458"/>
      <c r="AL670" s="2458"/>
      <c r="AN670" s="595"/>
    </row>
    <row r="671" spans="1:42" s="549" customFormat="1" ht="12.75" customHeight="1">
      <c r="B671" s="536"/>
      <c r="C671" s="539"/>
      <c r="D671" s="536"/>
      <c r="E671" s="2475"/>
      <c r="F671" s="2475"/>
      <c r="G671" s="2475"/>
      <c r="H671" s="2475"/>
      <c r="I671" s="2475"/>
      <c r="J671" s="2475"/>
      <c r="K671" s="2475"/>
      <c r="L671" s="2475"/>
      <c r="M671" s="2475"/>
      <c r="N671" s="2475"/>
      <c r="O671" s="2475"/>
      <c r="P671" s="2475"/>
      <c r="Q671" s="2475"/>
      <c r="R671" s="2475"/>
      <c r="S671" s="2475"/>
      <c r="T671" s="2475"/>
      <c r="U671" s="2475"/>
      <c r="V671" s="2475"/>
      <c r="W671" s="2475"/>
      <c r="X671" s="2475"/>
      <c r="Y671" s="2475"/>
      <c r="Z671" s="2475"/>
      <c r="AA671" s="2475"/>
      <c r="AB671" s="2475"/>
      <c r="AC671" s="2475"/>
      <c r="AD671" s="536"/>
      <c r="AE671" s="536"/>
      <c r="AF671" s="536"/>
      <c r="AG671" s="536"/>
      <c r="AH671" s="536"/>
      <c r="AI671" s="536"/>
      <c r="AJ671" s="536"/>
      <c r="AK671" s="536"/>
      <c r="AL671" s="536"/>
      <c r="AN671" s="595"/>
    </row>
    <row r="672" spans="1:42" s="549" customFormat="1" ht="12.75" customHeight="1">
      <c r="B672" s="536"/>
      <c r="C672" s="539"/>
      <c r="D672" s="659"/>
      <c r="E672" s="2475"/>
      <c r="F672" s="2475"/>
      <c r="G672" s="2475"/>
      <c r="H672" s="2475"/>
      <c r="I672" s="2475"/>
      <c r="J672" s="2475"/>
      <c r="K672" s="2475"/>
      <c r="L672" s="2475"/>
      <c r="M672" s="2475"/>
      <c r="N672" s="2475"/>
      <c r="O672" s="2475"/>
      <c r="P672" s="2475"/>
      <c r="Q672" s="2475"/>
      <c r="R672" s="2475"/>
      <c r="S672" s="2475"/>
      <c r="T672" s="2475"/>
      <c r="U672" s="2475"/>
      <c r="V672" s="2475"/>
      <c r="W672" s="2475"/>
      <c r="X672" s="2475"/>
      <c r="Y672" s="2475"/>
      <c r="Z672" s="2475"/>
      <c r="AA672" s="2475"/>
      <c r="AB672" s="2475"/>
      <c r="AC672" s="2475"/>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75" t="s">
        <v>1410</v>
      </c>
      <c r="F674" s="2475"/>
      <c r="G674" s="2475"/>
      <c r="H674" s="2475"/>
      <c r="I674" s="2475"/>
      <c r="J674" s="2475"/>
      <c r="K674" s="2475"/>
      <c r="L674" s="2475"/>
      <c r="M674" s="2475"/>
      <c r="N674" s="2475"/>
      <c r="O674" s="2475"/>
      <c r="P674" s="2475"/>
      <c r="Q674" s="2475"/>
      <c r="R674" s="2475"/>
      <c r="S674" s="2475"/>
      <c r="T674" s="2475"/>
      <c r="U674" s="2475"/>
      <c r="V674" s="2475"/>
      <c r="W674" s="2475"/>
      <c r="X674" s="2475"/>
      <c r="Y674" s="2475"/>
      <c r="Z674" s="2475"/>
      <c r="AA674" s="2475"/>
      <c r="AB674" s="2475"/>
      <c r="AC674" s="2475"/>
      <c r="AD674" s="536"/>
      <c r="AE674" s="536"/>
      <c r="AF674" s="2458" t="s">
        <v>1390</v>
      </c>
      <c r="AG674" s="2458"/>
      <c r="AH674" s="2458"/>
      <c r="AI674" s="2458"/>
      <c r="AJ674" s="2458"/>
      <c r="AK674" s="2458"/>
      <c r="AL674" s="2458"/>
      <c r="AN674" s="595"/>
    </row>
    <row r="675" spans="1:42" s="549" customFormat="1" ht="12.75" customHeight="1">
      <c r="B675" s="536"/>
      <c r="C675" s="539"/>
      <c r="D675" s="536"/>
      <c r="E675" s="2475"/>
      <c r="F675" s="2475"/>
      <c r="G675" s="2475"/>
      <c r="H675" s="2475"/>
      <c r="I675" s="2475"/>
      <c r="J675" s="2475"/>
      <c r="K675" s="2475"/>
      <c r="L675" s="2475"/>
      <c r="M675" s="2475"/>
      <c r="N675" s="2475"/>
      <c r="O675" s="2475"/>
      <c r="P675" s="2475"/>
      <c r="Q675" s="2475"/>
      <c r="R675" s="2475"/>
      <c r="S675" s="2475"/>
      <c r="T675" s="2475"/>
      <c r="U675" s="2475"/>
      <c r="V675" s="2475"/>
      <c r="W675" s="2475"/>
      <c r="X675" s="2475"/>
      <c r="Y675" s="2475"/>
      <c r="Z675" s="2475"/>
      <c r="AA675" s="2475"/>
      <c r="AB675" s="2475"/>
      <c r="AC675" s="2475"/>
      <c r="AD675" s="536"/>
      <c r="AE675" s="536"/>
      <c r="AF675" s="536"/>
      <c r="AG675" s="536"/>
      <c r="AH675" s="536"/>
      <c r="AI675" s="536"/>
      <c r="AJ675" s="536"/>
      <c r="AK675" s="536"/>
      <c r="AL675" s="536"/>
      <c r="AN675" s="595"/>
    </row>
    <row r="676" spans="1:42" s="549" customFormat="1" ht="15" customHeight="1">
      <c r="B676" s="536"/>
      <c r="C676" s="539"/>
      <c r="D676" s="659"/>
      <c r="E676" s="2475"/>
      <c r="F676" s="2475"/>
      <c r="G676" s="2475"/>
      <c r="H676" s="2475"/>
      <c r="I676" s="2475"/>
      <c r="J676" s="2475"/>
      <c r="K676" s="2475"/>
      <c r="L676" s="2475"/>
      <c r="M676" s="2475"/>
      <c r="N676" s="2475"/>
      <c r="O676" s="2475"/>
      <c r="P676" s="2475"/>
      <c r="Q676" s="2475"/>
      <c r="R676" s="2475"/>
      <c r="S676" s="2475"/>
      <c r="T676" s="2475"/>
      <c r="U676" s="2475"/>
      <c r="V676" s="2475"/>
      <c r="W676" s="2475"/>
      <c r="X676" s="2475"/>
      <c r="Y676" s="2475"/>
      <c r="Z676" s="2475"/>
      <c r="AA676" s="2475"/>
      <c r="AB676" s="2475"/>
      <c r="AC676" s="2475"/>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475" t="s">
        <v>1411</v>
      </c>
      <c r="F678" s="2475"/>
      <c r="G678" s="2475"/>
      <c r="H678" s="2475"/>
      <c r="I678" s="2475"/>
      <c r="J678" s="2475"/>
      <c r="K678" s="2475"/>
      <c r="L678" s="2475"/>
      <c r="M678" s="2475"/>
      <c r="N678" s="2475"/>
      <c r="O678" s="2475"/>
      <c r="P678" s="2475"/>
      <c r="Q678" s="2475"/>
      <c r="R678" s="2475"/>
      <c r="S678" s="2475"/>
      <c r="T678" s="2475"/>
      <c r="U678" s="2475"/>
      <c r="V678" s="2475"/>
      <c r="W678" s="2475"/>
      <c r="X678" s="2475"/>
      <c r="Y678" s="2475"/>
      <c r="Z678" s="2475"/>
      <c r="AA678" s="2475"/>
      <c r="AB678" s="2475"/>
      <c r="AC678" s="2475"/>
      <c r="AD678" s="536"/>
      <c r="AE678" s="536"/>
      <c r="AF678" s="2458" t="s">
        <v>1345</v>
      </c>
      <c r="AG678" s="2458"/>
      <c r="AH678" s="2458"/>
      <c r="AI678" s="2458"/>
      <c r="AJ678" s="2458"/>
      <c r="AK678" s="2458"/>
      <c r="AL678" s="2458"/>
      <c r="AN678" s="595"/>
    </row>
    <row r="679" spans="1:42" s="549" customFormat="1" ht="12.75" customHeight="1">
      <c r="B679" s="536"/>
      <c r="C679" s="927"/>
      <c r="D679" s="536"/>
      <c r="E679" s="2475"/>
      <c r="F679" s="2475"/>
      <c r="G679" s="2475"/>
      <c r="H679" s="2475"/>
      <c r="I679" s="2475"/>
      <c r="J679" s="2475"/>
      <c r="K679" s="2475"/>
      <c r="L679" s="2475"/>
      <c r="M679" s="2475"/>
      <c r="N679" s="2475"/>
      <c r="O679" s="2475"/>
      <c r="P679" s="2475"/>
      <c r="Q679" s="2475"/>
      <c r="R679" s="2475"/>
      <c r="S679" s="2475"/>
      <c r="T679" s="2475"/>
      <c r="U679" s="2475"/>
      <c r="V679" s="2475"/>
      <c r="W679" s="2475"/>
      <c r="X679" s="2475"/>
      <c r="Y679" s="2475"/>
      <c r="Z679" s="2475"/>
      <c r="AA679" s="2475"/>
      <c r="AB679" s="2475"/>
      <c r="AC679" s="2475"/>
      <c r="AD679" s="536"/>
      <c r="AE679" s="2458"/>
      <c r="AF679" s="2458"/>
      <c r="AG679" s="2458"/>
      <c r="AH679" s="2458"/>
      <c r="AI679" s="2458"/>
      <c r="AJ679" s="2458"/>
      <c r="AK679" s="2458"/>
      <c r="AL679" s="592"/>
      <c r="AN679" s="595"/>
      <c r="AO679" s="549" t="s">
        <v>590</v>
      </c>
      <c r="AP679" s="669">
        <v>0</v>
      </c>
    </row>
    <row r="680" spans="1:42" s="549" customFormat="1" ht="12.75" customHeight="1">
      <c r="A680" s="675"/>
      <c r="B680" s="536"/>
      <c r="C680" s="536"/>
      <c r="D680" s="659"/>
      <c r="E680" s="2475"/>
      <c r="F680" s="2475"/>
      <c r="G680" s="2475"/>
      <c r="H680" s="2475"/>
      <c r="I680" s="2475"/>
      <c r="J680" s="2475"/>
      <c r="K680" s="2475"/>
      <c r="L680" s="2475"/>
      <c r="M680" s="2475"/>
      <c r="N680" s="2475"/>
      <c r="O680" s="2475"/>
      <c r="P680" s="2475"/>
      <c r="Q680" s="2475"/>
      <c r="R680" s="2475"/>
      <c r="S680" s="2475"/>
      <c r="T680" s="2475"/>
      <c r="U680" s="2475"/>
      <c r="V680" s="2475"/>
      <c r="W680" s="2475"/>
      <c r="X680" s="2475"/>
      <c r="Y680" s="2475"/>
      <c r="Z680" s="2475"/>
      <c r="AA680" s="2475"/>
      <c r="AB680" s="2475"/>
      <c r="AC680" s="2475"/>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1388</v>
      </c>
      <c r="E682" s="2475" t="s">
        <v>1412</v>
      </c>
      <c r="F682" s="2475"/>
      <c r="G682" s="2475"/>
      <c r="H682" s="2475"/>
      <c r="I682" s="2475"/>
      <c r="J682" s="2475"/>
      <c r="K682" s="2475"/>
      <c r="L682" s="2475"/>
      <c r="M682" s="2475"/>
      <c r="N682" s="2475"/>
      <c r="O682" s="2475"/>
      <c r="P682" s="2475"/>
      <c r="Q682" s="2475"/>
      <c r="R682" s="2475"/>
      <c r="S682" s="2475"/>
      <c r="T682" s="2475"/>
      <c r="U682" s="2475"/>
      <c r="V682" s="2475"/>
      <c r="W682" s="2475"/>
      <c r="X682" s="2475"/>
      <c r="Y682" s="2475"/>
      <c r="Z682" s="2475"/>
      <c r="AA682" s="2475"/>
      <c r="AB682" s="2475"/>
      <c r="AC682" s="2475"/>
      <c r="AD682" s="536"/>
      <c r="AE682" s="536"/>
      <c r="AF682" s="2458" t="s">
        <v>1390</v>
      </c>
      <c r="AG682" s="2458"/>
      <c r="AH682" s="2458"/>
      <c r="AI682" s="2458"/>
      <c r="AJ682" s="2458"/>
      <c r="AK682" s="2458"/>
      <c r="AL682" s="2458"/>
      <c r="AN682" s="595"/>
    </row>
    <row r="683" spans="1:42" s="549" customFormat="1" ht="12.75" customHeight="1">
      <c r="A683" s="666"/>
      <c r="B683" s="536"/>
      <c r="C683" s="943"/>
      <c r="D683" s="659"/>
      <c r="E683" s="2475"/>
      <c r="F683" s="2475"/>
      <c r="G683" s="2475"/>
      <c r="H683" s="2475"/>
      <c r="I683" s="2475"/>
      <c r="J683" s="2475"/>
      <c r="K683" s="2475"/>
      <c r="L683" s="2475"/>
      <c r="M683" s="2475"/>
      <c r="N683" s="2475"/>
      <c r="O683" s="2475"/>
      <c r="P683" s="2475"/>
      <c r="Q683" s="2475"/>
      <c r="R683" s="2475"/>
      <c r="S683" s="2475"/>
      <c r="T683" s="2475"/>
      <c r="U683" s="2475"/>
      <c r="V683" s="2475"/>
      <c r="W683" s="2475"/>
      <c r="X683" s="2475"/>
      <c r="Y683" s="2475"/>
      <c r="Z683" s="2475"/>
      <c r="AA683" s="2475"/>
      <c r="AB683" s="2475"/>
      <c r="AC683" s="2475"/>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75"/>
      <c r="F684" s="2475"/>
      <c r="G684" s="2475"/>
      <c r="H684" s="2475"/>
      <c r="I684" s="2475"/>
      <c r="J684" s="2475"/>
      <c r="K684" s="2475"/>
      <c r="L684" s="2475"/>
      <c r="M684" s="2475"/>
      <c r="N684" s="2475"/>
      <c r="O684" s="2475"/>
      <c r="P684" s="2475"/>
      <c r="Q684" s="2475"/>
      <c r="R684" s="2475"/>
      <c r="S684" s="2475"/>
      <c r="T684" s="2475"/>
      <c r="U684" s="2475"/>
      <c r="V684" s="2475"/>
      <c r="W684" s="2475"/>
      <c r="X684" s="2475"/>
      <c r="Y684" s="2475"/>
      <c r="Z684" s="2475"/>
      <c r="AA684" s="2475"/>
      <c r="AB684" s="2475"/>
      <c r="AC684" s="2475"/>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1389</v>
      </c>
      <c r="E686" s="2475" t="s">
        <v>1413</v>
      </c>
      <c r="F686" s="2475"/>
      <c r="G686" s="2475"/>
      <c r="H686" s="2475"/>
      <c r="I686" s="2475"/>
      <c r="J686" s="2475"/>
      <c r="K686" s="2475"/>
      <c r="L686" s="2475"/>
      <c r="M686" s="2475"/>
      <c r="N686" s="2475"/>
      <c r="O686" s="2475"/>
      <c r="P686" s="2475"/>
      <c r="Q686" s="2475"/>
      <c r="R686" s="2475"/>
      <c r="S686" s="2475"/>
      <c r="T686" s="2475"/>
      <c r="U686" s="2475"/>
      <c r="V686" s="2475"/>
      <c r="W686" s="2475"/>
      <c r="X686" s="2475"/>
      <c r="Y686" s="2475"/>
      <c r="Z686" s="2475"/>
      <c r="AA686" s="2475"/>
      <c r="AB686" s="2475"/>
      <c r="AC686" s="2475"/>
      <c r="AD686" s="536"/>
      <c r="AE686" s="536"/>
      <c r="AF686" s="2458" t="s">
        <v>1345</v>
      </c>
      <c r="AG686" s="2458"/>
      <c r="AH686" s="2458"/>
      <c r="AI686" s="2458"/>
      <c r="AJ686" s="2458"/>
      <c r="AK686" s="2458"/>
      <c r="AL686" s="2458"/>
      <c r="AM686" s="594"/>
      <c r="AN686" s="595"/>
    </row>
    <row r="687" spans="1:42" s="549" customFormat="1" ht="12.75" customHeight="1">
      <c r="B687" s="536"/>
      <c r="C687" s="927"/>
      <c r="D687" s="659"/>
      <c r="E687" s="2475"/>
      <c r="F687" s="2475"/>
      <c r="G687" s="2475"/>
      <c r="H687" s="2475"/>
      <c r="I687" s="2475"/>
      <c r="J687" s="2475"/>
      <c r="K687" s="2475"/>
      <c r="L687" s="2475"/>
      <c r="M687" s="2475"/>
      <c r="N687" s="2475"/>
      <c r="O687" s="2475"/>
      <c r="P687" s="2475"/>
      <c r="Q687" s="2475"/>
      <c r="R687" s="2475"/>
      <c r="S687" s="2475"/>
      <c r="T687" s="2475"/>
      <c r="U687" s="2475"/>
      <c r="V687" s="2475"/>
      <c r="W687" s="2475"/>
      <c r="X687" s="2475"/>
      <c r="Y687" s="2475"/>
      <c r="Z687" s="2475"/>
      <c r="AA687" s="2475"/>
      <c r="AB687" s="2475"/>
      <c r="AC687" s="2475"/>
      <c r="AD687" s="536"/>
      <c r="AE687" s="536"/>
      <c r="AF687" s="536"/>
      <c r="AG687" s="536"/>
      <c r="AH687" s="536"/>
      <c r="AI687" s="536"/>
      <c r="AJ687" s="536"/>
      <c r="AK687" s="536"/>
      <c r="AL687" s="536"/>
      <c r="AM687" s="594"/>
      <c r="AN687" s="595"/>
    </row>
    <row r="688" spans="1:42" s="549" customFormat="1" ht="12.75" customHeight="1">
      <c r="B688" s="536"/>
      <c r="C688" s="927"/>
      <c r="D688" s="659"/>
      <c r="E688" s="2475"/>
      <c r="F688" s="2475"/>
      <c r="G688" s="2475"/>
      <c r="H688" s="2475"/>
      <c r="I688" s="2475"/>
      <c r="J688" s="2475"/>
      <c r="K688" s="2475"/>
      <c r="L688" s="2475"/>
      <c r="M688" s="2475"/>
      <c r="N688" s="2475"/>
      <c r="O688" s="2475"/>
      <c r="P688" s="2475"/>
      <c r="Q688" s="2475"/>
      <c r="R688" s="2475"/>
      <c r="S688" s="2475"/>
      <c r="T688" s="2475"/>
      <c r="U688" s="2475"/>
      <c r="V688" s="2475"/>
      <c r="W688" s="2475"/>
      <c r="X688" s="2475"/>
      <c r="Y688" s="2475"/>
      <c r="Z688" s="2475"/>
      <c r="AA688" s="2475"/>
      <c r="AB688" s="2475"/>
      <c r="AC688" s="2475"/>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1400</v>
      </c>
      <c r="E690" s="2475" t="s">
        <v>1414</v>
      </c>
      <c r="F690" s="2475"/>
      <c r="G690" s="2475"/>
      <c r="H690" s="2475"/>
      <c r="I690" s="2475"/>
      <c r="J690" s="2475"/>
      <c r="K690" s="2475"/>
      <c r="L690" s="2475"/>
      <c r="M690" s="2475"/>
      <c r="N690" s="2475"/>
      <c r="O690" s="2475"/>
      <c r="P690" s="2475"/>
      <c r="Q690" s="2475"/>
      <c r="R690" s="2475"/>
      <c r="S690" s="2475"/>
      <c r="T690" s="2475"/>
      <c r="U690" s="2475"/>
      <c r="V690" s="2475"/>
      <c r="W690" s="2475"/>
      <c r="X690" s="2475"/>
      <c r="Y690" s="2475"/>
      <c r="Z690" s="2475"/>
      <c r="AA690" s="2475"/>
      <c r="AB690" s="2475"/>
      <c r="AC690" s="2475"/>
      <c r="AD690" s="536"/>
      <c r="AE690" s="536"/>
      <c r="AF690" s="2458" t="s">
        <v>1399</v>
      </c>
      <c r="AG690" s="2458"/>
      <c r="AH690" s="2458"/>
      <c r="AI690" s="2458"/>
      <c r="AJ690" s="2458"/>
      <c r="AK690" s="2458"/>
      <c r="AL690" s="2458"/>
      <c r="AM690" s="594"/>
      <c r="AN690" s="595"/>
    </row>
    <row r="691" spans="1:50" s="549" customFormat="1" ht="12.75" customHeight="1">
      <c r="A691" s="675"/>
      <c r="B691" s="536"/>
      <c r="C691" s="927"/>
      <c r="D691" s="659"/>
      <c r="E691" s="2475"/>
      <c r="F691" s="2475"/>
      <c r="G691" s="2475"/>
      <c r="H691" s="2475"/>
      <c r="I691" s="2475"/>
      <c r="J691" s="2475"/>
      <c r="K691" s="2475"/>
      <c r="L691" s="2475"/>
      <c r="M691" s="2475"/>
      <c r="N691" s="2475"/>
      <c r="O691" s="2475"/>
      <c r="P691" s="2475"/>
      <c r="Q691" s="2475"/>
      <c r="R691" s="2475"/>
      <c r="S691" s="2475"/>
      <c r="T691" s="2475"/>
      <c r="U691" s="2475"/>
      <c r="V691" s="2475"/>
      <c r="W691" s="2475"/>
      <c r="X691" s="2475"/>
      <c r="Y691" s="2475"/>
      <c r="Z691" s="2475"/>
      <c r="AA691" s="2475"/>
      <c r="AB691" s="2475"/>
      <c r="AC691" s="2475"/>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75"/>
      <c r="F692" s="2475"/>
      <c r="G692" s="2475"/>
      <c r="H692" s="2475"/>
      <c r="I692" s="2475"/>
      <c r="J692" s="2475"/>
      <c r="K692" s="2475"/>
      <c r="L692" s="2475"/>
      <c r="M692" s="2475"/>
      <c r="N692" s="2475"/>
      <c r="O692" s="2475"/>
      <c r="P692" s="2475"/>
      <c r="Q692" s="2475"/>
      <c r="R692" s="2475"/>
      <c r="S692" s="2475"/>
      <c r="T692" s="2475"/>
      <c r="U692" s="2475"/>
      <c r="V692" s="2475"/>
      <c r="W692" s="2475"/>
      <c r="X692" s="2475"/>
      <c r="Y692" s="2475"/>
      <c r="Z692" s="2475"/>
      <c r="AA692" s="2475"/>
      <c r="AB692" s="2475"/>
      <c r="AC692" s="2475"/>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1402</v>
      </c>
      <c r="E694" s="2475" t="s">
        <v>1415</v>
      </c>
      <c r="F694" s="2475"/>
      <c r="G694" s="2475"/>
      <c r="H694" s="2475"/>
      <c r="I694" s="2475"/>
      <c r="J694" s="2475"/>
      <c r="K694" s="2475"/>
      <c r="L694" s="2475"/>
      <c r="M694" s="2475"/>
      <c r="N694" s="2475"/>
      <c r="O694" s="2475"/>
      <c r="P694" s="2475"/>
      <c r="Q694" s="2475"/>
      <c r="R694" s="2475"/>
      <c r="S694" s="2475"/>
      <c r="T694" s="2475"/>
      <c r="U694" s="2475"/>
      <c r="V694" s="2475"/>
      <c r="W694" s="2475"/>
      <c r="X694" s="2475"/>
      <c r="Y694" s="2475"/>
      <c r="Z694" s="2475"/>
      <c r="AA694" s="2475"/>
      <c r="AB694" s="2475"/>
      <c r="AC694" s="2475"/>
      <c r="AD694" s="536"/>
      <c r="AE694" s="536"/>
      <c r="AF694" s="2458" t="s">
        <v>1416</v>
      </c>
      <c r="AG694" s="2458"/>
      <c r="AH694" s="2458"/>
      <c r="AI694" s="2458"/>
      <c r="AJ694" s="2458"/>
      <c r="AK694" s="2458"/>
      <c r="AL694" s="2458"/>
      <c r="AM694" s="594"/>
      <c r="AN694" s="595"/>
      <c r="AO694" s="609" t="s">
        <v>686</v>
      </c>
      <c r="AP694" s="549">
        <v>3</v>
      </c>
    </row>
    <row r="695" spans="1:50" s="549" customFormat="1" ht="12.75" customHeight="1">
      <c r="A695" s="675"/>
      <c r="B695" s="536"/>
      <c r="C695" s="927"/>
      <c r="D695" s="659"/>
      <c r="E695" s="2475"/>
      <c r="F695" s="2475"/>
      <c r="G695" s="2475"/>
      <c r="H695" s="2475"/>
      <c r="I695" s="2475"/>
      <c r="J695" s="2475"/>
      <c r="K695" s="2475"/>
      <c r="L695" s="2475"/>
      <c r="M695" s="2475"/>
      <c r="N695" s="2475"/>
      <c r="O695" s="2475"/>
      <c r="P695" s="2475"/>
      <c r="Q695" s="2475"/>
      <c r="R695" s="2475"/>
      <c r="S695" s="2475"/>
      <c r="T695" s="2475"/>
      <c r="U695" s="2475"/>
      <c r="V695" s="2475"/>
      <c r="W695" s="2475"/>
      <c r="X695" s="2475"/>
      <c r="Y695" s="2475"/>
      <c r="Z695" s="2475"/>
      <c r="AA695" s="2475"/>
      <c r="AB695" s="2475"/>
      <c r="AC695" s="2475"/>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75"/>
      <c r="F696" s="2475"/>
      <c r="G696" s="2475"/>
      <c r="H696" s="2475"/>
      <c r="I696" s="2475"/>
      <c r="J696" s="2475"/>
      <c r="K696" s="2475"/>
      <c r="L696" s="2475"/>
      <c r="M696" s="2475"/>
      <c r="N696" s="2475"/>
      <c r="O696" s="2475"/>
      <c r="P696" s="2475"/>
      <c r="Q696" s="2475"/>
      <c r="R696" s="2475"/>
      <c r="S696" s="2475"/>
      <c r="T696" s="2475"/>
      <c r="U696" s="2475"/>
      <c r="V696" s="2475"/>
      <c r="W696" s="2475"/>
      <c r="X696" s="2475"/>
      <c r="Y696" s="2475"/>
      <c r="Z696" s="2475"/>
      <c r="AA696" s="2475"/>
      <c r="AB696" s="2475"/>
      <c r="AC696" s="2475"/>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1391</v>
      </c>
      <c r="E698" s="932"/>
      <c r="F698" s="932"/>
      <c r="G698" s="932"/>
      <c r="H698" s="2538" t="s">
        <v>686</v>
      </c>
      <c r="I698" s="2538"/>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1417</v>
      </c>
      <c r="AJ700" s="2483">
        <f>VLOOKUP($H$698,$AO$646:$AP$653,2,FALSE)</f>
        <v>5</v>
      </c>
      <c r="AK700" s="2485"/>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2089</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2135</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2136</v>
      </c>
      <c r="AX703" s="1146">
        <f>Application!G761</f>
        <v>203</v>
      </c>
    </row>
    <row r="704" spans="1:50" s="549" customFormat="1" ht="12.75" customHeight="1">
      <c r="A704" s="675"/>
      <c r="B704" s="536"/>
      <c r="C704" s="944"/>
      <c r="D704" s="659" t="s">
        <v>686</v>
      </c>
      <c r="E704" s="2545" t="s">
        <v>2142</v>
      </c>
      <c r="F704" s="2545"/>
      <c r="G704" s="2545"/>
      <c r="H704" s="2545"/>
      <c r="I704" s="2545"/>
      <c r="J704" s="2545"/>
      <c r="K704" s="2545"/>
      <c r="L704" s="2545"/>
      <c r="M704" s="2545"/>
      <c r="N704" s="2545"/>
      <c r="O704" s="2545"/>
      <c r="P704" s="2545"/>
      <c r="Q704" s="2545"/>
      <c r="R704" s="2545"/>
      <c r="S704" s="2545"/>
      <c r="T704" s="2545"/>
      <c r="U704" s="2545"/>
      <c r="V704" s="2545"/>
      <c r="W704" s="2545"/>
      <c r="X704" s="2545"/>
      <c r="Y704" s="2545"/>
      <c r="Z704" s="2545"/>
      <c r="AA704" s="2545"/>
      <c r="AB704" s="2545"/>
      <c r="AC704" s="536"/>
      <c r="AD704" s="536"/>
      <c r="AE704" s="536"/>
      <c r="AF704" s="2458" t="s">
        <v>1345</v>
      </c>
      <c r="AG704" s="2458"/>
      <c r="AH704" s="2458"/>
      <c r="AI704" s="2458"/>
      <c r="AJ704" s="2458"/>
      <c r="AK704" s="2458"/>
      <c r="AL704" s="2458"/>
      <c r="AN704" s="595"/>
      <c r="AW704" s="22" t="s">
        <v>2137</v>
      </c>
      <c r="AX704" s="549">
        <f>Application!DE761</f>
        <v>0</v>
      </c>
    </row>
    <row r="705" spans="1:51" s="549" customFormat="1" ht="12.75" customHeight="1">
      <c r="A705" s="675"/>
      <c r="B705" s="536"/>
      <c r="C705" s="944"/>
      <c r="D705" s="659"/>
      <c r="E705" s="2545"/>
      <c r="F705" s="2545"/>
      <c r="G705" s="2545"/>
      <c r="H705" s="2545"/>
      <c r="I705" s="2545"/>
      <c r="J705" s="2545"/>
      <c r="K705" s="2545"/>
      <c r="L705" s="2545"/>
      <c r="M705" s="2545"/>
      <c r="N705" s="2545"/>
      <c r="O705" s="2545"/>
      <c r="P705" s="2545"/>
      <c r="Q705" s="2545"/>
      <c r="R705" s="2545"/>
      <c r="S705" s="2545"/>
      <c r="T705" s="2545"/>
      <c r="U705" s="2545"/>
      <c r="V705" s="2545"/>
      <c r="W705" s="2545"/>
      <c r="X705" s="2545"/>
      <c r="Y705" s="2545"/>
      <c r="Z705" s="2545"/>
      <c r="AA705" s="2545"/>
      <c r="AB705" s="2545"/>
      <c r="AC705" s="536"/>
      <c r="AD705" s="536"/>
      <c r="AE705" s="536"/>
      <c r="AF705" s="536"/>
      <c r="AG705" s="536"/>
      <c r="AH705" s="536"/>
      <c r="AI705" s="536"/>
      <c r="AJ705" s="536"/>
      <c r="AK705" s="536"/>
      <c r="AL705" s="536"/>
      <c r="AN705" s="595"/>
      <c r="AW705" s="22" t="s">
        <v>2138</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2139</v>
      </c>
      <c r="AX706" s="549">
        <f>Application!DO761</f>
        <v>0</v>
      </c>
    </row>
    <row r="707" spans="1:51" s="549" customFormat="1" ht="12.75" customHeight="1">
      <c r="B707" s="536"/>
      <c r="C707" s="927"/>
      <c r="D707" s="659" t="s">
        <v>508</v>
      </c>
      <c r="E707" s="2475" t="s">
        <v>2087</v>
      </c>
      <c r="F707" s="2475"/>
      <c r="G707" s="2475"/>
      <c r="H707" s="2475"/>
      <c r="I707" s="2475"/>
      <c r="J707" s="2475"/>
      <c r="K707" s="2475"/>
      <c r="L707" s="2475"/>
      <c r="M707" s="2475"/>
      <c r="N707" s="2475"/>
      <c r="O707" s="2475"/>
      <c r="P707" s="2475"/>
      <c r="Q707" s="2475"/>
      <c r="R707" s="2475"/>
      <c r="S707" s="2475"/>
      <c r="T707" s="2475"/>
      <c r="U707" s="2475"/>
      <c r="V707" s="2475"/>
      <c r="W707" s="2475"/>
      <c r="X707" s="2475"/>
      <c r="Y707" s="2475"/>
      <c r="Z707" s="2475"/>
      <c r="AA707" s="2475"/>
      <c r="AB707" s="2475"/>
      <c r="AC707" s="536"/>
      <c r="AD707" s="536"/>
      <c r="AE707" s="536"/>
      <c r="AF707" s="2458" t="s">
        <v>1345</v>
      </c>
      <c r="AG707" s="2458"/>
      <c r="AH707" s="2458"/>
      <c r="AI707" s="2458"/>
      <c r="AJ707" s="2458"/>
      <c r="AK707" s="2458"/>
      <c r="AL707" s="2458"/>
      <c r="AN707" s="595"/>
      <c r="AW707" s="22" t="s">
        <v>2140</v>
      </c>
      <c r="AX707" s="549">
        <f>AX704+AX705+AX706</f>
        <v>0</v>
      </c>
    </row>
    <row r="708" spans="1:51" s="549" customFormat="1" ht="12.75" customHeight="1">
      <c r="B708" s="536"/>
      <c r="C708" s="936"/>
      <c r="D708" s="659"/>
      <c r="E708" s="2475"/>
      <c r="F708" s="2475"/>
      <c r="G708" s="2475"/>
      <c r="H708" s="2475"/>
      <c r="I708" s="2475"/>
      <c r="J708" s="2475"/>
      <c r="K708" s="2475"/>
      <c r="L708" s="2475"/>
      <c r="M708" s="2475"/>
      <c r="N708" s="2475"/>
      <c r="O708" s="2475"/>
      <c r="P708" s="2475"/>
      <c r="Q708" s="2475"/>
      <c r="R708" s="2475"/>
      <c r="S708" s="2475"/>
      <c r="T708" s="2475"/>
      <c r="U708" s="2475"/>
      <c r="V708" s="2475"/>
      <c r="W708" s="2475"/>
      <c r="X708" s="2475"/>
      <c r="Y708" s="2475"/>
      <c r="Z708" s="2475"/>
      <c r="AA708" s="2475"/>
      <c r="AB708" s="2475"/>
      <c r="AC708" s="536"/>
      <c r="AD708" s="536"/>
      <c r="AE708" s="614"/>
      <c r="AF708" s="536"/>
      <c r="AG708" s="536"/>
      <c r="AH708" s="536"/>
      <c r="AI708" s="536"/>
      <c r="AJ708" s="536"/>
      <c r="AK708" s="536"/>
      <c r="AL708" s="536"/>
      <c r="AN708" s="595"/>
      <c r="AO708" s="2544" t="b">
        <f>IF(Application!D211="Special Needs",IF(AY708&gt;=0.25,TRUE,FALSE),IF(AX708&gt;=0.25,TRUE,FALSE))</f>
        <v>0</v>
      </c>
      <c r="AP708" s="2544"/>
      <c r="AW708" s="22" t="s">
        <v>2141</v>
      </c>
      <c r="AX708" s="549">
        <f>IFERROR(AX707/AX703,0)</f>
        <v>0</v>
      </c>
      <c r="AY708" s="549">
        <f>IFERROR(AX707/(AX703-AX702),0)</f>
        <v>0</v>
      </c>
    </row>
    <row r="709" spans="1:51" s="549" customFormat="1" ht="12.75" customHeight="1">
      <c r="B709" s="536"/>
      <c r="C709" s="936"/>
      <c r="E709" s="2475"/>
      <c r="F709" s="2475"/>
      <c r="G709" s="2475"/>
      <c r="H709" s="2475"/>
      <c r="I709" s="2475"/>
      <c r="J709" s="2475"/>
      <c r="K709" s="2475"/>
      <c r="L709" s="2475"/>
      <c r="M709" s="2475"/>
      <c r="N709" s="2475"/>
      <c r="O709" s="2475"/>
      <c r="P709" s="2475"/>
      <c r="Q709" s="2475"/>
      <c r="R709" s="2475"/>
      <c r="S709" s="2475"/>
      <c r="T709" s="2475"/>
      <c r="U709" s="2475"/>
      <c r="V709" s="2475"/>
      <c r="W709" s="2475"/>
      <c r="X709" s="2475"/>
      <c r="Y709" s="2475"/>
      <c r="Z709" s="2475"/>
      <c r="AA709" s="2475"/>
      <c r="AB709" s="2475"/>
      <c r="AC709" s="536"/>
      <c r="AD709" s="536"/>
      <c r="AE709" s="614"/>
      <c r="AF709" s="614"/>
      <c r="AG709" s="614"/>
      <c r="AH709" s="614"/>
      <c r="AI709" s="614"/>
      <c r="AJ709" s="614"/>
      <c r="AK709" s="614"/>
      <c r="AL709" s="614"/>
      <c r="AN709" s="595"/>
      <c r="AW709" s="14"/>
    </row>
    <row r="710" spans="1:51" s="549" customFormat="1" ht="28.5" customHeight="1">
      <c r="B710" s="536"/>
      <c r="C710" s="936"/>
      <c r="D710" s="536"/>
      <c r="E710" s="2475"/>
      <c r="F710" s="2475"/>
      <c r="G710" s="2475"/>
      <c r="H710" s="2475"/>
      <c r="I710" s="2475"/>
      <c r="J710" s="2475"/>
      <c r="K710" s="2475"/>
      <c r="L710" s="2475"/>
      <c r="M710" s="2475"/>
      <c r="N710" s="2475"/>
      <c r="O710" s="2475"/>
      <c r="P710" s="2475"/>
      <c r="Q710" s="2475"/>
      <c r="R710" s="2475"/>
      <c r="S710" s="2475"/>
      <c r="T710" s="2475"/>
      <c r="U710" s="2475"/>
      <c r="V710" s="2475"/>
      <c r="W710" s="2475"/>
      <c r="X710" s="2475"/>
      <c r="Y710" s="2475"/>
      <c r="Z710" s="2475"/>
      <c r="AA710" s="2475"/>
      <c r="AB710" s="2475"/>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278</v>
      </c>
      <c r="E712" s="2475" t="s">
        <v>2088</v>
      </c>
      <c r="F712" s="2475"/>
      <c r="G712" s="2475"/>
      <c r="H712" s="2475"/>
      <c r="I712" s="2475"/>
      <c r="J712" s="2475"/>
      <c r="K712" s="2475"/>
      <c r="L712" s="2475"/>
      <c r="M712" s="2475"/>
      <c r="N712" s="2475"/>
      <c r="O712" s="2475"/>
      <c r="P712" s="2475"/>
      <c r="Q712" s="2475"/>
      <c r="R712" s="2475"/>
      <c r="S712" s="2475"/>
      <c r="T712" s="2475"/>
      <c r="U712" s="2475"/>
      <c r="V712" s="2475"/>
      <c r="W712" s="2475"/>
      <c r="X712" s="2475"/>
      <c r="Y712" s="2475"/>
      <c r="Z712" s="2475"/>
      <c r="AA712" s="2475"/>
      <c r="AB712" s="2475"/>
      <c r="AC712" s="536"/>
      <c r="AD712" s="536"/>
      <c r="AE712" s="536"/>
      <c r="AF712" s="2458" t="s">
        <v>1399</v>
      </c>
      <c r="AG712" s="2458"/>
      <c r="AH712" s="2458"/>
      <c r="AI712" s="2458"/>
      <c r="AJ712" s="2458"/>
      <c r="AK712" s="2458"/>
      <c r="AL712" s="2458"/>
      <c r="AN712" s="595"/>
      <c r="AO712" s="609" t="s">
        <v>508</v>
      </c>
      <c r="AP712" s="549">
        <v>1</v>
      </c>
    </row>
    <row r="713" spans="1:51" s="549" customFormat="1" ht="12" customHeight="1">
      <c r="B713" s="536"/>
      <c r="C713" s="927"/>
      <c r="E713" s="2475"/>
      <c r="F713" s="2475"/>
      <c r="G713" s="2475"/>
      <c r="H713" s="2475"/>
      <c r="I713" s="2475"/>
      <c r="J713" s="2475"/>
      <c r="K713" s="2475"/>
      <c r="L713" s="2475"/>
      <c r="M713" s="2475"/>
      <c r="N713" s="2475"/>
      <c r="O713" s="2475"/>
      <c r="P713" s="2475"/>
      <c r="Q713" s="2475"/>
      <c r="R713" s="2475"/>
      <c r="S713" s="2475"/>
      <c r="T713" s="2475"/>
      <c r="U713" s="2475"/>
      <c r="V713" s="2475"/>
      <c r="W713" s="2475"/>
      <c r="X713" s="2475"/>
      <c r="Y713" s="2475"/>
      <c r="Z713" s="2475"/>
      <c r="AA713" s="2475"/>
      <c r="AB713" s="2475"/>
      <c r="AC713" s="536"/>
      <c r="AD713" s="536"/>
      <c r="AE713" s="614"/>
      <c r="AF713" s="536"/>
      <c r="AG713" s="536"/>
      <c r="AH713" s="536"/>
      <c r="AI713" s="536"/>
      <c r="AJ713" s="536"/>
      <c r="AK713" s="536"/>
      <c r="AL713" s="536"/>
      <c r="AN713" s="595"/>
    </row>
    <row r="714" spans="1:51" s="549" customFormat="1" ht="12" customHeight="1">
      <c r="B714" s="536"/>
      <c r="C714" s="927"/>
      <c r="D714" s="536"/>
      <c r="E714" s="2475"/>
      <c r="F714" s="2475"/>
      <c r="G714" s="2475"/>
      <c r="H714" s="2475"/>
      <c r="I714" s="2475"/>
      <c r="J714" s="2475"/>
      <c r="K714" s="2475"/>
      <c r="L714" s="2475"/>
      <c r="M714" s="2475"/>
      <c r="N714" s="2475"/>
      <c r="O714" s="2475"/>
      <c r="P714" s="2475"/>
      <c r="Q714" s="2475"/>
      <c r="R714" s="2475"/>
      <c r="S714" s="2475"/>
      <c r="T714" s="2475"/>
      <c r="U714" s="2475"/>
      <c r="V714" s="2475"/>
      <c r="W714" s="2475"/>
      <c r="X714" s="2475"/>
      <c r="Y714" s="2475"/>
      <c r="Z714" s="2475"/>
      <c r="AA714" s="2475"/>
      <c r="AB714" s="2475"/>
      <c r="AC714" s="536"/>
      <c r="AD714" s="536"/>
      <c r="AE714" s="614"/>
      <c r="AF714" s="536"/>
      <c r="AG714" s="536"/>
      <c r="AH714" s="536"/>
      <c r="AI714" s="536"/>
      <c r="AJ714" s="536"/>
      <c r="AK714" s="536"/>
      <c r="AL714" s="536"/>
      <c r="AN714" s="595"/>
    </row>
    <row r="715" spans="1:51" s="549" customFormat="1" ht="12" customHeight="1">
      <c r="B715" s="536"/>
      <c r="C715" s="927"/>
      <c r="D715" s="536"/>
      <c r="E715" s="2475"/>
      <c r="F715" s="2475"/>
      <c r="G715" s="2475"/>
      <c r="H715" s="2475"/>
      <c r="I715" s="2475"/>
      <c r="J715" s="2475"/>
      <c r="K715" s="2475"/>
      <c r="L715" s="2475"/>
      <c r="M715" s="2475"/>
      <c r="N715" s="2475"/>
      <c r="O715" s="2475"/>
      <c r="P715" s="2475"/>
      <c r="Q715" s="2475"/>
      <c r="R715" s="2475"/>
      <c r="S715" s="2475"/>
      <c r="T715" s="2475"/>
      <c r="U715" s="2475"/>
      <c r="V715" s="2475"/>
      <c r="W715" s="2475"/>
      <c r="X715" s="2475"/>
      <c r="Y715" s="2475"/>
      <c r="Z715" s="2475"/>
      <c r="AA715" s="2475"/>
      <c r="AB715" s="2475"/>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75"/>
      <c r="F716" s="2475"/>
      <c r="G716" s="2475"/>
      <c r="H716" s="2475"/>
      <c r="I716" s="2475"/>
      <c r="J716" s="2475"/>
      <c r="K716" s="2475"/>
      <c r="L716" s="2475"/>
      <c r="M716" s="2475"/>
      <c r="N716" s="2475"/>
      <c r="O716" s="2475"/>
      <c r="P716" s="2475"/>
      <c r="Q716" s="2475"/>
      <c r="R716" s="2475"/>
      <c r="S716" s="2475"/>
      <c r="T716" s="2475"/>
      <c r="U716" s="2475"/>
      <c r="V716" s="2475"/>
      <c r="W716" s="2475"/>
      <c r="X716" s="2475"/>
      <c r="Y716" s="2475"/>
      <c r="Z716" s="2475"/>
      <c r="AA716" s="2475"/>
      <c r="AB716" s="2475"/>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475" t="s">
        <v>1681</v>
      </c>
      <c r="F718" s="2475"/>
      <c r="G718" s="2475"/>
      <c r="H718" s="2475"/>
      <c r="I718" s="2475"/>
      <c r="J718" s="2475"/>
      <c r="K718" s="2475"/>
      <c r="L718" s="2475"/>
      <c r="M718" s="2475"/>
      <c r="N718" s="2475"/>
      <c r="O718" s="2475"/>
      <c r="P718" s="2475"/>
      <c r="Q718" s="2475"/>
      <c r="R718" s="2475"/>
      <c r="S718" s="2475"/>
      <c r="T718" s="2475"/>
      <c r="U718" s="2475"/>
      <c r="V718" s="2475"/>
      <c r="W718" s="2475"/>
      <c r="X718" s="2475"/>
      <c r="Y718" s="2475"/>
      <c r="Z718" s="2475"/>
      <c r="AA718" s="2475"/>
      <c r="AB718" s="2475"/>
      <c r="AC718" s="536"/>
      <c r="AD718" s="536"/>
      <c r="AE718" s="614"/>
      <c r="AF718" s="614"/>
      <c r="AG718" s="614"/>
      <c r="AH718" s="614"/>
      <c r="AI718" s="614"/>
      <c r="AJ718" s="536"/>
      <c r="AK718" s="536"/>
      <c r="AL718" s="536"/>
      <c r="AM718" s="549"/>
      <c r="AN718" s="680"/>
      <c r="AO718" s="609" t="s">
        <v>508</v>
      </c>
      <c r="AP718" s="549">
        <f>3*$AO$708</f>
        <v>0</v>
      </c>
    </row>
    <row r="719" spans="1:51" s="568" customFormat="1" ht="12.75" customHeight="1">
      <c r="A719" s="549"/>
      <c r="B719" s="536"/>
      <c r="C719" s="927"/>
      <c r="D719" s="536"/>
      <c r="E719" s="2475"/>
      <c r="F719" s="2475"/>
      <c r="G719" s="2475"/>
      <c r="H719" s="2475"/>
      <c r="I719" s="2475"/>
      <c r="J719" s="2475"/>
      <c r="K719" s="2475"/>
      <c r="L719" s="2475"/>
      <c r="M719" s="2475"/>
      <c r="N719" s="2475"/>
      <c r="O719" s="2475"/>
      <c r="P719" s="2475"/>
      <c r="Q719" s="2475"/>
      <c r="R719" s="2475"/>
      <c r="S719" s="2475"/>
      <c r="T719" s="2475"/>
      <c r="U719" s="2475"/>
      <c r="V719" s="2475"/>
      <c r="W719" s="2475"/>
      <c r="X719" s="2475"/>
      <c r="Y719" s="2475"/>
      <c r="Z719" s="2475"/>
      <c r="AA719" s="2475"/>
      <c r="AB719" s="2475"/>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475"/>
      <c r="F720" s="2475"/>
      <c r="G720" s="2475"/>
      <c r="H720" s="2475"/>
      <c r="I720" s="2475"/>
      <c r="J720" s="2475"/>
      <c r="K720" s="2475"/>
      <c r="L720" s="2475"/>
      <c r="M720" s="2475"/>
      <c r="N720" s="2475"/>
      <c r="O720" s="2475"/>
      <c r="P720" s="2475"/>
      <c r="Q720" s="2475"/>
      <c r="R720" s="2475"/>
      <c r="S720" s="2475"/>
      <c r="T720" s="2475"/>
      <c r="U720" s="2475"/>
      <c r="V720" s="2475"/>
      <c r="W720" s="2475"/>
      <c r="X720" s="2475"/>
      <c r="Y720" s="2475"/>
      <c r="Z720" s="2475"/>
      <c r="AA720" s="2475"/>
      <c r="AB720" s="2475"/>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1391</v>
      </c>
      <c r="E722" s="932"/>
      <c r="F722" s="932"/>
      <c r="G722" s="932"/>
      <c r="H722" s="2538" t="s">
        <v>590</v>
      </c>
      <c r="I722" s="2538"/>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1418</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1396</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2090</v>
      </c>
      <c r="AJ724" s="2483">
        <f>VLOOKUP($H$722,$AO$716:$AP$719,2,FALSE)</f>
        <v>0</v>
      </c>
      <c r="AK724" s="2485"/>
      <c r="AL724" s="593"/>
      <c r="AM724" s="549"/>
      <c r="AN724" s="680"/>
      <c r="AP724" s="568" t="s">
        <v>1403</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1419</v>
      </c>
    </row>
    <row r="726" spans="1:43" s="568" customFormat="1" ht="12.75" customHeight="1">
      <c r="A726" s="549"/>
      <c r="B726" s="536"/>
      <c r="C726" s="539" t="s">
        <v>1420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1422</v>
      </c>
    </row>
    <row r="728" spans="1:43" s="568" customFormat="1" ht="12.75" customHeight="1">
      <c r="A728" s="635"/>
      <c r="B728" s="536"/>
      <c r="C728" s="927"/>
      <c r="D728" s="659" t="s">
        <v>686</v>
      </c>
      <c r="E728" s="2546" t="s">
        <v>1683</v>
      </c>
      <c r="F728" s="2546"/>
      <c r="G728" s="2546"/>
      <c r="H728" s="2546"/>
      <c r="I728" s="2546"/>
      <c r="J728" s="2546"/>
      <c r="K728" s="2546"/>
      <c r="L728" s="2546"/>
      <c r="M728" s="2546"/>
      <c r="N728" s="2546"/>
      <c r="O728" s="2546"/>
      <c r="P728" s="2546"/>
      <c r="Q728" s="2546"/>
      <c r="R728" s="2546"/>
      <c r="S728" s="2546"/>
      <c r="T728" s="2546"/>
      <c r="U728" s="2546"/>
      <c r="V728" s="2546"/>
      <c r="W728" s="2546"/>
      <c r="X728" s="2546"/>
      <c r="Y728" s="2546"/>
      <c r="Z728" s="2546"/>
      <c r="AA728" s="2546"/>
      <c r="AB728" s="2546"/>
      <c r="AC728" s="536"/>
      <c r="AD728" s="536"/>
      <c r="AE728" s="536"/>
      <c r="AF728" s="2458" t="s">
        <v>1345</v>
      </c>
      <c r="AG728" s="2458"/>
      <c r="AH728" s="2458"/>
      <c r="AI728" s="2458"/>
      <c r="AJ728" s="2458"/>
      <c r="AK728" s="2458"/>
      <c r="AL728" s="2458"/>
      <c r="AM728" s="549"/>
      <c r="AN728" s="680"/>
      <c r="AP728" s="568" t="s">
        <v>1423</v>
      </c>
    </row>
    <row r="729" spans="1:43" s="568" customFormat="1" ht="11.85" customHeight="1">
      <c r="A729" s="549"/>
      <c r="B729" s="536"/>
      <c r="C729" s="929"/>
      <c r="D729" s="659"/>
      <c r="E729" s="2546"/>
      <c r="F729" s="2546"/>
      <c r="G729" s="2546"/>
      <c r="H729" s="2546"/>
      <c r="I729" s="2546"/>
      <c r="J729" s="2546"/>
      <c r="K729" s="2546"/>
      <c r="L729" s="2546"/>
      <c r="M729" s="2546"/>
      <c r="N729" s="2546"/>
      <c r="O729" s="2546"/>
      <c r="P729" s="2546"/>
      <c r="Q729" s="2546"/>
      <c r="R729" s="2546"/>
      <c r="S729" s="2546"/>
      <c r="T729" s="2546"/>
      <c r="U729" s="2546"/>
      <c r="V729" s="2546"/>
      <c r="W729" s="2546"/>
      <c r="X729" s="2546"/>
      <c r="Y729" s="2546"/>
      <c r="Z729" s="2546"/>
      <c r="AA729" s="2546"/>
      <c r="AB729" s="2546"/>
      <c r="AC729" s="536"/>
      <c r="AD729" s="536"/>
      <c r="AE729" s="536"/>
      <c r="AF729" s="536"/>
      <c r="AG729" s="536"/>
      <c r="AH729" s="536"/>
      <c r="AI729" s="536"/>
      <c r="AJ729" s="536"/>
      <c r="AK729" s="536"/>
      <c r="AL729" s="536"/>
      <c r="AM729" s="549"/>
      <c r="AN729" s="680"/>
      <c r="AP729" s="568" t="s">
        <v>1424</v>
      </c>
    </row>
    <row r="730" spans="1:43" s="568" customFormat="1" ht="13.9" customHeight="1">
      <c r="A730" s="549"/>
      <c r="B730" s="608"/>
      <c r="C730" s="927"/>
      <c r="D730" s="659"/>
      <c r="E730" s="2546"/>
      <c r="F730" s="2546"/>
      <c r="G730" s="2546"/>
      <c r="H730" s="2546"/>
      <c r="I730" s="2546"/>
      <c r="J730" s="2546"/>
      <c r="K730" s="2546"/>
      <c r="L730" s="2546"/>
      <c r="M730" s="2546"/>
      <c r="N730" s="2546"/>
      <c r="O730" s="2546"/>
      <c r="P730" s="2546"/>
      <c r="Q730" s="2546"/>
      <c r="R730" s="2546"/>
      <c r="S730" s="2546"/>
      <c r="T730" s="2546"/>
      <c r="U730" s="2546"/>
      <c r="V730" s="2546"/>
      <c r="W730" s="2546"/>
      <c r="X730" s="2546"/>
      <c r="Y730" s="2546"/>
      <c r="Z730" s="2546"/>
      <c r="AA730" s="2546"/>
      <c r="AB730" s="2546"/>
      <c r="AC730" s="536"/>
      <c r="AD730" s="536"/>
      <c r="AE730" s="614"/>
      <c r="AF730" s="536"/>
      <c r="AG730" s="536"/>
      <c r="AH730" s="536"/>
      <c r="AI730" s="536"/>
      <c r="AJ730" s="536"/>
      <c r="AK730" s="536"/>
      <c r="AL730" s="536"/>
      <c r="AM730" s="549"/>
      <c r="AN730" s="680"/>
      <c r="AP730" s="568" t="s">
        <v>1425</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1427</v>
      </c>
    </row>
    <row r="732" spans="1:43" s="568" customFormat="1" ht="13.9" customHeight="1">
      <c r="A732" s="549"/>
      <c r="B732" s="536"/>
      <c r="C732" s="927"/>
      <c r="D732" s="659" t="s">
        <v>508</v>
      </c>
      <c r="E732" s="2547" t="s">
        <v>1426</v>
      </c>
      <c r="F732" s="2547"/>
      <c r="G732" s="2547"/>
      <c r="H732" s="2547"/>
      <c r="I732" s="2547"/>
      <c r="J732" s="2547"/>
      <c r="K732" s="2547"/>
      <c r="L732" s="2547"/>
      <c r="M732" s="2547"/>
      <c r="N732" s="2547"/>
      <c r="O732" s="2547"/>
      <c r="P732" s="2547"/>
      <c r="Q732" s="2547"/>
      <c r="R732" s="2547"/>
      <c r="S732" s="2547"/>
      <c r="T732" s="2547"/>
      <c r="U732" s="2547"/>
      <c r="V732" s="2547"/>
      <c r="W732" s="2547"/>
      <c r="X732" s="2547"/>
      <c r="Y732" s="2547"/>
      <c r="Z732" s="2547"/>
      <c r="AA732" s="2547"/>
      <c r="AB732" s="2547"/>
      <c r="AC732" s="536"/>
      <c r="AD732" s="536"/>
      <c r="AE732" s="536"/>
      <c r="AF732" s="2458" t="s">
        <v>1399</v>
      </c>
      <c r="AG732" s="2458"/>
      <c r="AH732" s="2458"/>
      <c r="AI732" s="2458"/>
      <c r="AJ732" s="2458"/>
      <c r="AK732" s="2458"/>
      <c r="AL732" s="2458"/>
      <c r="AM732" s="549"/>
      <c r="AN732" s="681"/>
    </row>
    <row r="733" spans="1:43" s="568" customFormat="1" ht="12.75" customHeight="1">
      <c r="A733" s="549"/>
      <c r="B733" s="536"/>
      <c r="C733" s="929"/>
      <c r="D733" s="536"/>
      <c r="E733" s="2547"/>
      <c r="F733" s="2547"/>
      <c r="G733" s="2547"/>
      <c r="H733" s="2547"/>
      <c r="I733" s="2547"/>
      <c r="J733" s="2547"/>
      <c r="K733" s="2547"/>
      <c r="L733" s="2547"/>
      <c r="M733" s="2547"/>
      <c r="N733" s="2547"/>
      <c r="O733" s="2547"/>
      <c r="P733" s="2547"/>
      <c r="Q733" s="2547"/>
      <c r="R733" s="2547"/>
      <c r="S733" s="2547"/>
      <c r="T733" s="2547"/>
      <c r="U733" s="2547"/>
      <c r="V733" s="2547"/>
      <c r="W733" s="2547"/>
      <c r="X733" s="2547"/>
      <c r="Y733" s="2547"/>
      <c r="Z733" s="2547"/>
      <c r="AA733" s="2547"/>
      <c r="AB733" s="2547"/>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47"/>
      <c r="F734" s="2547"/>
      <c r="G734" s="2547"/>
      <c r="H734" s="2547"/>
      <c r="I734" s="2547"/>
      <c r="J734" s="2547"/>
      <c r="K734" s="2547"/>
      <c r="L734" s="2547"/>
      <c r="M734" s="2547"/>
      <c r="N734" s="2547"/>
      <c r="O734" s="2547"/>
      <c r="P734" s="2547"/>
      <c r="Q734" s="2547"/>
      <c r="R734" s="2547"/>
      <c r="S734" s="2547"/>
      <c r="T734" s="2547"/>
      <c r="U734" s="2547"/>
      <c r="V734" s="2547"/>
      <c r="W734" s="2547"/>
      <c r="X734" s="2547"/>
      <c r="Y734" s="2547"/>
      <c r="Z734" s="2547"/>
      <c r="AA734" s="2547"/>
      <c r="AB734" s="2547"/>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1391</v>
      </c>
      <c r="E736" s="932"/>
      <c r="F736" s="932"/>
      <c r="G736" s="932"/>
      <c r="H736" s="2538" t="s">
        <v>590</v>
      </c>
      <c r="I736" s="2538"/>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1428</v>
      </c>
      <c r="AJ738" s="2483">
        <f>VLOOKUP($H$736,$AP$733:$AQ$735,2,FALSE)</f>
        <v>0</v>
      </c>
      <c r="AK738" s="2485"/>
      <c r="AL738" s="593"/>
      <c r="AM738" s="549"/>
      <c r="AN738" s="680"/>
      <c r="AP738" s="2483"/>
      <c r="AQ738" s="2485"/>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1429</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475" t="s">
        <v>1684</v>
      </c>
      <c r="F742" s="2475"/>
      <c r="G742" s="2475"/>
      <c r="H742" s="2475"/>
      <c r="I742" s="2475"/>
      <c r="J742" s="2475"/>
      <c r="K742" s="2475"/>
      <c r="L742" s="2475"/>
      <c r="M742" s="2475"/>
      <c r="N742" s="2475"/>
      <c r="O742" s="2475"/>
      <c r="P742" s="2475"/>
      <c r="Q742" s="2475"/>
      <c r="R742" s="2475"/>
      <c r="S742" s="2475"/>
      <c r="T742" s="2475"/>
      <c r="U742" s="2475"/>
      <c r="V742" s="2475"/>
      <c r="W742" s="2475"/>
      <c r="X742" s="2475"/>
      <c r="Y742" s="2475"/>
      <c r="Z742" s="2475"/>
      <c r="AA742" s="2475"/>
      <c r="AB742" s="2475"/>
      <c r="AC742" s="536"/>
      <c r="AD742" s="536"/>
      <c r="AE742" s="536"/>
      <c r="AF742" s="2458" t="s">
        <v>1345</v>
      </c>
      <c r="AG742" s="2458"/>
      <c r="AH742" s="2458"/>
      <c r="AI742" s="2458"/>
      <c r="AJ742" s="2458"/>
      <c r="AK742" s="2458"/>
      <c r="AL742" s="2458"/>
      <c r="AM742" s="549"/>
      <c r="AN742" s="680"/>
      <c r="AT742" s="14"/>
      <c r="AU742" s="14"/>
      <c r="AV742" s="14"/>
      <c r="AW742" s="14"/>
      <c r="AX742" s="14"/>
      <c r="AY742" s="14"/>
      <c r="AZ742" s="14"/>
    </row>
    <row r="743" spans="1:81" s="568" customFormat="1">
      <c r="A743" s="549"/>
      <c r="B743" s="536"/>
      <c r="C743" s="929"/>
      <c r="D743" s="659"/>
      <c r="E743" s="2475"/>
      <c r="F743" s="2475"/>
      <c r="G743" s="2475"/>
      <c r="H743" s="2475"/>
      <c r="I743" s="2475"/>
      <c r="J743" s="2475"/>
      <c r="K743" s="2475"/>
      <c r="L743" s="2475"/>
      <c r="M743" s="2475"/>
      <c r="N743" s="2475"/>
      <c r="O743" s="2475"/>
      <c r="P743" s="2475"/>
      <c r="Q743" s="2475"/>
      <c r="R743" s="2475"/>
      <c r="S743" s="2475"/>
      <c r="T743" s="2475"/>
      <c r="U743" s="2475"/>
      <c r="V743" s="2475"/>
      <c r="W743" s="2475"/>
      <c r="X743" s="2475"/>
      <c r="Y743" s="2475"/>
      <c r="Z743" s="2475"/>
      <c r="AA743" s="2475"/>
      <c r="AB743" s="2475"/>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75" t="s">
        <v>1430</v>
      </c>
      <c r="F745" s="2475"/>
      <c r="G745" s="2475"/>
      <c r="H745" s="2475"/>
      <c r="I745" s="2475"/>
      <c r="J745" s="2475"/>
      <c r="K745" s="2475"/>
      <c r="L745" s="2475"/>
      <c r="M745" s="2475"/>
      <c r="N745" s="2475"/>
      <c r="O745" s="2475"/>
      <c r="P745" s="2475"/>
      <c r="Q745" s="2475"/>
      <c r="R745" s="2475"/>
      <c r="S745" s="2475"/>
      <c r="T745" s="2475"/>
      <c r="U745" s="2475"/>
      <c r="V745" s="2475"/>
      <c r="W745" s="2475"/>
      <c r="X745" s="2475"/>
      <c r="Y745" s="2475"/>
      <c r="Z745" s="2475"/>
      <c r="AA745" s="2475"/>
      <c r="AB745" s="2475"/>
      <c r="AC745" s="536"/>
      <c r="AD745" s="536"/>
      <c r="AE745" s="536"/>
      <c r="AF745" s="2458" t="s">
        <v>1399</v>
      </c>
      <c r="AG745" s="2458"/>
      <c r="AH745" s="2458"/>
      <c r="AI745" s="2458"/>
      <c r="AJ745" s="2458"/>
      <c r="AK745" s="2458"/>
      <c r="AL745" s="2458"/>
      <c r="AM745" s="549"/>
      <c r="AN745" s="680"/>
      <c r="AT745" s="14"/>
      <c r="AU745" s="14"/>
      <c r="AV745" s="14"/>
      <c r="AW745" s="14"/>
      <c r="AX745" s="14"/>
      <c r="AY745" s="14"/>
      <c r="AZ745" s="14"/>
    </row>
    <row r="746" spans="1:81" s="568" customFormat="1">
      <c r="A746" s="549"/>
      <c r="B746" s="536"/>
      <c r="C746" s="929"/>
      <c r="D746" s="536"/>
      <c r="E746" s="2475"/>
      <c r="F746" s="2475"/>
      <c r="G746" s="2475"/>
      <c r="H746" s="2475"/>
      <c r="I746" s="2475"/>
      <c r="J746" s="2475"/>
      <c r="K746" s="2475"/>
      <c r="L746" s="2475"/>
      <c r="M746" s="2475"/>
      <c r="N746" s="2475"/>
      <c r="O746" s="2475"/>
      <c r="P746" s="2475"/>
      <c r="Q746" s="2475"/>
      <c r="R746" s="2475"/>
      <c r="S746" s="2475"/>
      <c r="T746" s="2475"/>
      <c r="U746" s="2475"/>
      <c r="V746" s="2475"/>
      <c r="W746" s="2475"/>
      <c r="X746" s="2475"/>
      <c r="Y746" s="2475"/>
      <c r="Z746" s="2475"/>
      <c r="AA746" s="2475"/>
      <c r="AB746" s="2475"/>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1391</v>
      </c>
      <c r="E748" s="932"/>
      <c r="F748" s="932"/>
      <c r="G748" s="932"/>
      <c r="H748" s="2538" t="s">
        <v>590</v>
      </c>
      <c r="I748" s="2538"/>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1431</v>
      </c>
      <c r="AJ750" s="2483">
        <f>VLOOKUP($H$748,$AO$679:$AP$681,2,FALSE)</f>
        <v>0</v>
      </c>
      <c r="AK750" s="2485"/>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475" t="s">
        <v>1433</v>
      </c>
      <c r="F754" s="2475"/>
      <c r="G754" s="2475"/>
      <c r="H754" s="2475"/>
      <c r="I754" s="2475"/>
      <c r="J754" s="2475"/>
      <c r="K754" s="2475"/>
      <c r="L754" s="2475"/>
      <c r="M754" s="2475"/>
      <c r="N754" s="2475"/>
      <c r="O754" s="2475"/>
      <c r="P754" s="2475"/>
      <c r="Q754" s="2475"/>
      <c r="R754" s="2475"/>
      <c r="S754" s="2475"/>
      <c r="T754" s="2475"/>
      <c r="U754" s="2475"/>
      <c r="V754" s="2475"/>
      <c r="W754" s="2475"/>
      <c r="X754" s="2475"/>
      <c r="Y754" s="2475"/>
      <c r="Z754" s="2475"/>
      <c r="AA754" s="2475"/>
      <c r="AB754" s="2475"/>
      <c r="AC754" s="536"/>
      <c r="AD754" s="536"/>
      <c r="AE754" s="536"/>
      <c r="AF754" s="2458" t="s">
        <v>1345</v>
      </c>
      <c r="AG754" s="2458"/>
      <c r="AH754" s="2458"/>
      <c r="AI754" s="2458"/>
      <c r="AJ754" s="2458"/>
      <c r="AK754" s="2458"/>
      <c r="AL754" s="2458"/>
      <c r="AM754" s="549"/>
      <c r="AN754" s="680"/>
      <c r="AT754" s="14"/>
      <c r="AU754" s="14"/>
      <c r="AV754" s="14"/>
      <c r="AW754" s="14"/>
      <c r="AX754" s="14"/>
      <c r="AY754" s="14"/>
      <c r="AZ754" s="14"/>
    </row>
    <row r="755" spans="1:81" s="568" customFormat="1">
      <c r="A755" s="549"/>
      <c r="B755" s="536"/>
      <c r="C755" s="927"/>
      <c r="D755" s="659"/>
      <c r="E755" s="2475"/>
      <c r="F755" s="2475"/>
      <c r="G755" s="2475"/>
      <c r="H755" s="2475"/>
      <c r="I755" s="2475"/>
      <c r="J755" s="2475"/>
      <c r="K755" s="2475"/>
      <c r="L755" s="2475"/>
      <c r="M755" s="2475"/>
      <c r="N755" s="2475"/>
      <c r="O755" s="2475"/>
      <c r="P755" s="2475"/>
      <c r="Q755" s="2475"/>
      <c r="R755" s="2475"/>
      <c r="S755" s="2475"/>
      <c r="T755" s="2475"/>
      <c r="U755" s="2475"/>
      <c r="V755" s="2475"/>
      <c r="W755" s="2475"/>
      <c r="X755" s="2475"/>
      <c r="Y755" s="2475"/>
      <c r="Z755" s="2475"/>
      <c r="AA755" s="2475"/>
      <c r="AB755" s="2475"/>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75"/>
      <c r="F756" s="2475"/>
      <c r="G756" s="2475"/>
      <c r="H756" s="2475"/>
      <c r="I756" s="2475"/>
      <c r="J756" s="2475"/>
      <c r="K756" s="2475"/>
      <c r="L756" s="2475"/>
      <c r="M756" s="2475"/>
      <c r="N756" s="2475"/>
      <c r="O756" s="2475"/>
      <c r="P756" s="2475"/>
      <c r="Q756" s="2475"/>
      <c r="R756" s="2475"/>
      <c r="S756" s="2475"/>
      <c r="T756" s="2475"/>
      <c r="U756" s="2475"/>
      <c r="V756" s="2475"/>
      <c r="W756" s="2475"/>
      <c r="X756" s="2475"/>
      <c r="Y756" s="2475"/>
      <c r="Z756" s="2475"/>
      <c r="AA756" s="2475"/>
      <c r="AB756" s="2475"/>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75"/>
      <c r="F757" s="2475"/>
      <c r="G757" s="2475"/>
      <c r="H757" s="2475"/>
      <c r="I757" s="2475"/>
      <c r="J757" s="2475"/>
      <c r="K757" s="2475"/>
      <c r="L757" s="2475"/>
      <c r="M757" s="2475"/>
      <c r="N757" s="2475"/>
      <c r="O757" s="2475"/>
      <c r="P757" s="2475"/>
      <c r="Q757" s="2475"/>
      <c r="R757" s="2475"/>
      <c r="S757" s="2475"/>
      <c r="T757" s="2475"/>
      <c r="U757" s="2475"/>
      <c r="V757" s="2475"/>
      <c r="W757" s="2475"/>
      <c r="X757" s="2475"/>
      <c r="Y757" s="2475"/>
      <c r="Z757" s="2475"/>
      <c r="AA757" s="2475"/>
      <c r="AB757" s="2475"/>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475" t="s">
        <v>1434</v>
      </c>
      <c r="F759" s="2475"/>
      <c r="G759" s="2475"/>
      <c r="H759" s="2475"/>
      <c r="I759" s="2475"/>
      <c r="J759" s="2475"/>
      <c r="K759" s="2475"/>
      <c r="L759" s="2475"/>
      <c r="M759" s="2475"/>
      <c r="N759" s="2475"/>
      <c r="O759" s="2475"/>
      <c r="P759" s="2475"/>
      <c r="Q759" s="2475"/>
      <c r="R759" s="2475"/>
      <c r="S759" s="2475"/>
      <c r="T759" s="2475"/>
      <c r="U759" s="2475"/>
      <c r="V759" s="2475"/>
      <c r="W759" s="2475"/>
      <c r="X759" s="2475"/>
      <c r="Y759" s="2475"/>
      <c r="Z759" s="2475"/>
      <c r="AA759" s="2475"/>
      <c r="AB759" s="573"/>
      <c r="AC759" s="536"/>
      <c r="AD759" s="536"/>
      <c r="AE759" s="536"/>
      <c r="AF759" s="2458" t="s">
        <v>1399</v>
      </c>
      <c r="AG759" s="2458"/>
      <c r="AH759" s="2458"/>
      <c r="AI759" s="2458"/>
      <c r="AJ759" s="2458"/>
      <c r="AK759" s="2458"/>
      <c r="AL759" s="2458"/>
      <c r="AM759" s="549"/>
      <c r="AN759" s="680"/>
      <c r="AO759" s="30"/>
      <c r="AP759" s="14"/>
    </row>
    <row r="760" spans="1:81" s="568" customFormat="1">
      <c r="A760" s="549"/>
      <c r="B760" s="536"/>
      <c r="C760" s="927"/>
      <c r="D760" s="659"/>
      <c r="E760" s="2475"/>
      <c r="F760" s="2475"/>
      <c r="G760" s="2475"/>
      <c r="H760" s="2475"/>
      <c r="I760" s="2475"/>
      <c r="J760" s="2475"/>
      <c r="K760" s="2475"/>
      <c r="L760" s="2475"/>
      <c r="M760" s="2475"/>
      <c r="N760" s="2475"/>
      <c r="O760" s="2475"/>
      <c r="P760" s="2475"/>
      <c r="Q760" s="2475"/>
      <c r="R760" s="2475"/>
      <c r="S760" s="2475"/>
      <c r="T760" s="2475"/>
      <c r="U760" s="2475"/>
      <c r="V760" s="2475"/>
      <c r="W760" s="2475"/>
      <c r="X760" s="2475"/>
      <c r="Y760" s="2475"/>
      <c r="Z760" s="2475"/>
      <c r="AA760" s="2475"/>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75"/>
      <c r="F761" s="2475"/>
      <c r="G761" s="2475"/>
      <c r="H761" s="2475"/>
      <c r="I761" s="2475"/>
      <c r="J761" s="2475"/>
      <c r="K761" s="2475"/>
      <c r="L761" s="2475"/>
      <c r="M761" s="2475"/>
      <c r="N761" s="2475"/>
      <c r="O761" s="2475"/>
      <c r="P761" s="2475"/>
      <c r="Q761" s="2475"/>
      <c r="R761" s="2475"/>
      <c r="S761" s="2475"/>
      <c r="T761" s="2475"/>
      <c r="U761" s="2475"/>
      <c r="V761" s="2475"/>
      <c r="W761" s="2475"/>
      <c r="X761" s="2475"/>
      <c r="Y761" s="2475"/>
      <c r="Z761" s="2475"/>
      <c r="AA761" s="2475"/>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75"/>
      <c r="F762" s="2475"/>
      <c r="G762" s="2475"/>
      <c r="H762" s="2475"/>
      <c r="I762" s="2475"/>
      <c r="J762" s="2475"/>
      <c r="K762" s="2475"/>
      <c r="L762" s="2475"/>
      <c r="M762" s="2475"/>
      <c r="N762" s="2475"/>
      <c r="O762" s="2475"/>
      <c r="P762" s="2475"/>
      <c r="Q762" s="2475"/>
      <c r="R762" s="2475"/>
      <c r="S762" s="2475"/>
      <c r="T762" s="2475"/>
      <c r="U762" s="2475"/>
      <c r="V762" s="2475"/>
      <c r="W762" s="2475"/>
      <c r="X762" s="2475"/>
      <c r="Y762" s="2475"/>
      <c r="Z762" s="2475"/>
      <c r="AA762" s="2475"/>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1391</v>
      </c>
      <c r="E764" s="932"/>
      <c r="F764" s="932"/>
      <c r="G764" s="932"/>
      <c r="H764" s="2538" t="s">
        <v>686</v>
      </c>
      <c r="I764" s="2538"/>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1435</v>
      </c>
      <c r="AJ766" s="2483">
        <f>VLOOKUP($H$764,$AO$693:$AP$695,2,FALSE)</f>
        <v>3</v>
      </c>
      <c r="AK766" s="2485"/>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1425</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475" t="s">
        <v>1436</v>
      </c>
      <c r="F770" s="2475"/>
      <c r="G770" s="2475"/>
      <c r="H770" s="2475"/>
      <c r="I770" s="2475"/>
      <c r="J770" s="2475"/>
      <c r="K770" s="2475"/>
      <c r="L770" s="2475"/>
      <c r="M770" s="2475"/>
      <c r="N770" s="2475"/>
      <c r="O770" s="2475"/>
      <c r="P770" s="2475"/>
      <c r="Q770" s="2475"/>
      <c r="R770" s="2475"/>
      <c r="S770" s="2475"/>
      <c r="T770" s="2475"/>
      <c r="U770" s="2475"/>
      <c r="V770" s="2475"/>
      <c r="W770" s="2475"/>
      <c r="X770" s="2475"/>
      <c r="Y770" s="2475"/>
      <c r="Z770" s="2475"/>
      <c r="AA770" s="2475"/>
      <c r="AB770" s="2475"/>
      <c r="AC770" s="536"/>
      <c r="AD770" s="536"/>
      <c r="AE770" s="536"/>
      <c r="AF770" s="2458" t="s">
        <v>1399</v>
      </c>
      <c r="AG770" s="2458"/>
      <c r="AH770" s="2458"/>
      <c r="AI770" s="2458"/>
      <c r="AJ770" s="2458"/>
      <c r="AK770" s="2458"/>
      <c r="AL770" s="2458"/>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75"/>
      <c r="F771" s="2475"/>
      <c r="G771" s="2475"/>
      <c r="H771" s="2475"/>
      <c r="I771" s="2475"/>
      <c r="J771" s="2475"/>
      <c r="K771" s="2475"/>
      <c r="L771" s="2475"/>
      <c r="M771" s="2475"/>
      <c r="N771" s="2475"/>
      <c r="O771" s="2475"/>
      <c r="P771" s="2475"/>
      <c r="Q771" s="2475"/>
      <c r="R771" s="2475"/>
      <c r="S771" s="2475"/>
      <c r="T771" s="2475"/>
      <c r="U771" s="2475"/>
      <c r="V771" s="2475"/>
      <c r="W771" s="2475"/>
      <c r="X771" s="2475"/>
      <c r="Y771" s="2475"/>
      <c r="Z771" s="2475"/>
      <c r="AA771" s="2475"/>
      <c r="AB771" s="2475"/>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475" t="s">
        <v>1437</v>
      </c>
      <c r="F773" s="2475"/>
      <c r="G773" s="2475"/>
      <c r="H773" s="2475"/>
      <c r="I773" s="2475"/>
      <c r="J773" s="2475"/>
      <c r="K773" s="2475"/>
      <c r="L773" s="2475"/>
      <c r="M773" s="2475"/>
      <c r="N773" s="2475"/>
      <c r="O773" s="2475"/>
      <c r="P773" s="2475"/>
      <c r="Q773" s="2475"/>
      <c r="R773" s="2475"/>
      <c r="S773" s="2475"/>
      <c r="T773" s="2475"/>
      <c r="U773" s="2475"/>
      <c r="V773" s="2475"/>
      <c r="W773" s="2475"/>
      <c r="X773" s="2475"/>
      <c r="Y773" s="2475"/>
      <c r="Z773" s="2475"/>
      <c r="AA773" s="2475"/>
      <c r="AB773" s="2475"/>
      <c r="AC773" s="536"/>
      <c r="AD773" s="536"/>
      <c r="AE773" s="536"/>
      <c r="AF773" s="2458" t="s">
        <v>1416</v>
      </c>
      <c r="AG773" s="2458"/>
      <c r="AH773" s="2458"/>
      <c r="AI773" s="2458"/>
      <c r="AJ773" s="2458"/>
      <c r="AK773" s="2458"/>
      <c r="AL773" s="2458"/>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75"/>
      <c r="F774" s="2475"/>
      <c r="G774" s="2475"/>
      <c r="H774" s="2475"/>
      <c r="I774" s="2475"/>
      <c r="J774" s="2475"/>
      <c r="K774" s="2475"/>
      <c r="L774" s="2475"/>
      <c r="M774" s="2475"/>
      <c r="N774" s="2475"/>
      <c r="O774" s="2475"/>
      <c r="P774" s="2475"/>
      <c r="Q774" s="2475"/>
      <c r="R774" s="2475"/>
      <c r="S774" s="2475"/>
      <c r="T774" s="2475"/>
      <c r="U774" s="2475"/>
      <c r="V774" s="2475"/>
      <c r="W774" s="2475"/>
      <c r="X774" s="2475"/>
      <c r="Y774" s="2475"/>
      <c r="Z774" s="2475"/>
      <c r="AA774" s="2475"/>
      <c r="AB774" s="2475"/>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1391</v>
      </c>
      <c r="E776" s="932"/>
      <c r="F776" s="932"/>
      <c r="G776" s="932"/>
      <c r="H776" s="2538" t="s">
        <v>686</v>
      </c>
      <c r="I776" s="2538"/>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1438</v>
      </c>
      <c r="AJ778" s="2483">
        <f>VLOOKUP($H$776,$AO$710:$AP$712,2,FALSE)</f>
        <v>2</v>
      </c>
      <c r="AK778" s="2485"/>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1427</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475" t="s">
        <v>1680</v>
      </c>
      <c r="F782" s="2475"/>
      <c r="G782" s="2475"/>
      <c r="H782" s="2475"/>
      <c r="I782" s="2475"/>
      <c r="J782" s="2475"/>
      <c r="K782" s="2475"/>
      <c r="L782" s="2475"/>
      <c r="M782" s="2475"/>
      <c r="N782" s="2475"/>
      <c r="O782" s="2475"/>
      <c r="P782" s="2475"/>
      <c r="Q782" s="2475"/>
      <c r="R782" s="2475"/>
      <c r="S782" s="2475"/>
      <c r="T782" s="2475"/>
      <c r="U782" s="2475"/>
      <c r="V782" s="2475"/>
      <c r="W782" s="2475"/>
      <c r="X782" s="2475"/>
      <c r="Y782" s="2475"/>
      <c r="Z782" s="2475"/>
      <c r="AA782" s="2475"/>
      <c r="AB782" s="2475"/>
      <c r="AC782" s="2475"/>
      <c r="AD782" s="2475"/>
      <c r="AE782" s="536"/>
      <c r="AF782" s="2458" t="s">
        <v>1399</v>
      </c>
      <c r="AG782" s="2458"/>
      <c r="AH782" s="2458"/>
      <c r="AI782" s="2458"/>
      <c r="AJ782" s="2458"/>
      <c r="AK782" s="2458"/>
      <c r="AL782" s="2458"/>
      <c r="AM782" s="611"/>
      <c r="AN782" s="680"/>
      <c r="AO782" s="549" t="s">
        <v>590</v>
      </c>
      <c r="AP782" s="669">
        <v>0</v>
      </c>
    </row>
    <row r="783" spans="1:74" s="568" customFormat="1" ht="13.7" customHeight="1">
      <c r="A783" s="549"/>
      <c r="B783" s="614"/>
      <c r="C783" s="936"/>
      <c r="D783" s="659"/>
      <c r="E783" s="2475"/>
      <c r="F783" s="2475"/>
      <c r="G783" s="2475"/>
      <c r="H783" s="2475"/>
      <c r="I783" s="2475"/>
      <c r="J783" s="2475"/>
      <c r="K783" s="2475"/>
      <c r="L783" s="2475"/>
      <c r="M783" s="2475"/>
      <c r="N783" s="2475"/>
      <c r="O783" s="2475"/>
      <c r="P783" s="2475"/>
      <c r="Q783" s="2475"/>
      <c r="R783" s="2475"/>
      <c r="S783" s="2475"/>
      <c r="T783" s="2475"/>
      <c r="U783" s="2475"/>
      <c r="V783" s="2475"/>
      <c r="W783" s="2475"/>
      <c r="X783" s="2475"/>
      <c r="Y783" s="2475"/>
      <c r="Z783" s="2475"/>
      <c r="AA783" s="2475"/>
      <c r="AB783" s="2475"/>
      <c r="AC783" s="2475"/>
      <c r="AD783" s="2475"/>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475"/>
      <c r="F784" s="2475"/>
      <c r="G784" s="2475"/>
      <c r="H784" s="2475"/>
      <c r="I784" s="2475"/>
      <c r="J784" s="2475"/>
      <c r="K784" s="2475"/>
      <c r="L784" s="2475"/>
      <c r="M784" s="2475"/>
      <c r="N784" s="2475"/>
      <c r="O784" s="2475"/>
      <c r="P784" s="2475"/>
      <c r="Q784" s="2475"/>
      <c r="R784" s="2475"/>
      <c r="S784" s="2475"/>
      <c r="T784" s="2475"/>
      <c r="U784" s="2475"/>
      <c r="V784" s="2475"/>
      <c r="W784" s="2475"/>
      <c r="X784" s="2475"/>
      <c r="Y784" s="2475"/>
      <c r="Z784" s="2475"/>
      <c r="AA784" s="2475"/>
      <c r="AB784" s="2475"/>
      <c r="AC784" s="2475"/>
      <c r="AD784" s="2475"/>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75"/>
      <c r="F785" s="2475"/>
      <c r="G785" s="2475"/>
      <c r="H785" s="2475"/>
      <c r="I785" s="2475"/>
      <c r="J785" s="2475"/>
      <c r="K785" s="2475"/>
      <c r="L785" s="2475"/>
      <c r="M785" s="2475"/>
      <c r="N785" s="2475"/>
      <c r="O785" s="2475"/>
      <c r="P785" s="2475"/>
      <c r="Q785" s="2475"/>
      <c r="R785" s="2475"/>
      <c r="S785" s="2475"/>
      <c r="T785" s="2475"/>
      <c r="U785" s="2475"/>
      <c r="V785" s="2475"/>
      <c r="W785" s="2475"/>
      <c r="X785" s="2475"/>
      <c r="Y785" s="2475"/>
      <c r="Z785" s="2475"/>
      <c r="AA785" s="2475"/>
      <c r="AB785" s="2475"/>
      <c r="AC785" s="2475"/>
      <c r="AD785" s="2475"/>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48" t="s">
        <v>1685</v>
      </c>
      <c r="F787" s="2548"/>
      <c r="G787" s="2548"/>
      <c r="H787" s="2548"/>
      <c r="I787" s="2548"/>
      <c r="J787" s="2548"/>
      <c r="K787" s="2548"/>
      <c r="L787" s="2548"/>
      <c r="M787" s="2548"/>
      <c r="N787" s="2548"/>
      <c r="O787" s="2548"/>
      <c r="P787" s="2548"/>
      <c r="Q787" s="2548"/>
      <c r="R787" s="2548"/>
      <c r="S787" s="2548"/>
      <c r="T787" s="2548"/>
      <c r="U787" s="2548"/>
      <c r="V787" s="2548"/>
      <c r="W787" s="2548"/>
      <c r="X787" s="2548"/>
      <c r="Y787" s="2548"/>
      <c r="Z787" s="2548"/>
      <c r="AA787" s="2548"/>
      <c r="AB787" s="2548"/>
      <c r="AC787" s="2548"/>
      <c r="AD787" s="2548"/>
      <c r="AE787" s="536"/>
      <c r="AF787" s="2458" t="s">
        <v>1345</v>
      </c>
      <c r="AG787" s="2458"/>
      <c r="AH787" s="2458"/>
      <c r="AI787" s="2458"/>
      <c r="AJ787" s="2458"/>
      <c r="AK787" s="2458"/>
      <c r="AL787" s="2458"/>
      <c r="AM787" s="611"/>
      <c r="AN787" s="595"/>
    </row>
    <row r="788" spans="1:81" s="549" customFormat="1" ht="12.75" customHeight="1">
      <c r="B788" s="614"/>
      <c r="C788" s="936"/>
      <c r="D788" s="659"/>
      <c r="E788" s="2548"/>
      <c r="F788" s="2548"/>
      <c r="G788" s="2548"/>
      <c r="H788" s="2548"/>
      <c r="I788" s="2548"/>
      <c r="J788" s="2548"/>
      <c r="K788" s="2548"/>
      <c r="L788" s="2548"/>
      <c r="M788" s="2548"/>
      <c r="N788" s="2548"/>
      <c r="O788" s="2548"/>
      <c r="P788" s="2548"/>
      <c r="Q788" s="2548"/>
      <c r="R788" s="2548"/>
      <c r="S788" s="2548"/>
      <c r="T788" s="2548"/>
      <c r="U788" s="2548"/>
      <c r="V788" s="2548"/>
      <c r="W788" s="2548"/>
      <c r="X788" s="2548"/>
      <c r="Y788" s="2548"/>
      <c r="Z788" s="2548"/>
      <c r="AA788" s="2548"/>
      <c r="AB788" s="2548"/>
      <c r="AC788" s="2548"/>
      <c r="AD788" s="2548"/>
      <c r="AE788" s="592"/>
      <c r="AF788" s="592"/>
      <c r="AG788" s="592"/>
      <c r="AH788" s="592"/>
      <c r="AI788" s="592"/>
      <c r="AJ788" s="592"/>
      <c r="AK788" s="592"/>
      <c r="AL788" s="592"/>
      <c r="AM788" s="611"/>
      <c r="AN788" s="595"/>
    </row>
    <row r="789" spans="1:81" s="549" customFormat="1" ht="12.75" customHeight="1">
      <c r="B789" s="614"/>
      <c r="C789" s="936"/>
      <c r="D789" s="659"/>
      <c r="E789" s="2548"/>
      <c r="F789" s="2548"/>
      <c r="G789" s="2548"/>
      <c r="H789" s="2548"/>
      <c r="I789" s="2548"/>
      <c r="J789" s="2548"/>
      <c r="K789" s="2548"/>
      <c r="L789" s="2548"/>
      <c r="M789" s="2548"/>
      <c r="N789" s="2548"/>
      <c r="O789" s="2548"/>
      <c r="P789" s="2548"/>
      <c r="Q789" s="2548"/>
      <c r="R789" s="2548"/>
      <c r="S789" s="2548"/>
      <c r="T789" s="2548"/>
      <c r="U789" s="2548"/>
      <c r="V789" s="2548"/>
      <c r="W789" s="2548"/>
      <c r="X789" s="2548"/>
      <c r="Y789" s="2548"/>
      <c r="Z789" s="2548"/>
      <c r="AA789" s="2548"/>
      <c r="AB789" s="2548"/>
      <c r="AC789" s="2548"/>
      <c r="AD789" s="2548"/>
      <c r="AE789" s="592"/>
      <c r="AF789" s="592"/>
      <c r="AG789" s="592"/>
      <c r="AH789" s="592"/>
      <c r="AI789" s="592"/>
      <c r="AJ789" s="592"/>
      <c r="AK789" s="592"/>
      <c r="AL789" s="592"/>
      <c r="AM789" s="611"/>
      <c r="AN789" s="595"/>
    </row>
    <row r="790" spans="1:81" s="549" customFormat="1" ht="12.75" customHeight="1">
      <c r="B790" s="614"/>
      <c r="C790" s="936"/>
      <c r="D790" s="659"/>
      <c r="E790" s="2548"/>
      <c r="F790" s="2548"/>
      <c r="G790" s="2548"/>
      <c r="H790" s="2548"/>
      <c r="I790" s="2548"/>
      <c r="J790" s="2548"/>
      <c r="K790" s="2548"/>
      <c r="L790" s="2548"/>
      <c r="M790" s="2548"/>
      <c r="N790" s="2548"/>
      <c r="O790" s="2548"/>
      <c r="P790" s="2548"/>
      <c r="Q790" s="2548"/>
      <c r="R790" s="2548"/>
      <c r="S790" s="2548"/>
      <c r="T790" s="2548"/>
      <c r="U790" s="2548"/>
      <c r="V790" s="2548"/>
      <c r="W790" s="2548"/>
      <c r="X790" s="2548"/>
      <c r="Y790" s="2548"/>
      <c r="Z790" s="2548"/>
      <c r="AA790" s="2548"/>
      <c r="AB790" s="2548"/>
      <c r="AC790" s="2548"/>
      <c r="AD790" s="2548"/>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1391</v>
      </c>
      <c r="E792" s="932"/>
      <c r="F792" s="932"/>
      <c r="G792" s="932"/>
      <c r="H792" s="2538" t="s">
        <v>590</v>
      </c>
      <c r="I792" s="2538"/>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1439</v>
      </c>
      <c r="AJ794" s="2483">
        <f>VLOOKUP($H$792,$AO$782:$AP$784,2,FALSE)</f>
        <v>0</v>
      </c>
      <c r="AK794" s="2485"/>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1440</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475" t="s">
        <v>2626</v>
      </c>
      <c r="F798" s="2475"/>
      <c r="G798" s="2475"/>
      <c r="H798" s="2475"/>
      <c r="I798" s="2475"/>
      <c r="J798" s="2475"/>
      <c r="K798" s="2475"/>
      <c r="L798" s="2475"/>
      <c r="M798" s="2475"/>
      <c r="N798" s="2475"/>
      <c r="O798" s="2475"/>
      <c r="P798" s="2475"/>
      <c r="Q798" s="2475"/>
      <c r="R798" s="2475"/>
      <c r="S798" s="2475"/>
      <c r="T798" s="2475"/>
      <c r="U798" s="2475"/>
      <c r="V798" s="2475"/>
      <c r="W798" s="2475"/>
      <c r="X798" s="2475"/>
      <c r="Y798" s="2475"/>
      <c r="Z798" s="2475"/>
      <c r="AA798" s="2475"/>
      <c r="AB798" s="2475"/>
      <c r="AC798" s="2475"/>
      <c r="AD798" s="2475"/>
      <c r="AE798" s="536"/>
      <c r="AF798" s="2458" t="s">
        <v>1345</v>
      </c>
      <c r="AG798" s="2458"/>
      <c r="AH798" s="2458"/>
      <c r="AI798" s="2458"/>
      <c r="AJ798" s="2458"/>
      <c r="AK798" s="2458"/>
      <c r="AL798" s="2458"/>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475"/>
      <c r="F799" s="2475"/>
      <c r="G799" s="2475"/>
      <c r="H799" s="2475"/>
      <c r="I799" s="2475"/>
      <c r="J799" s="2475"/>
      <c r="K799" s="2475"/>
      <c r="L799" s="2475"/>
      <c r="M799" s="2475"/>
      <c r="N799" s="2475"/>
      <c r="O799" s="2475"/>
      <c r="P799" s="2475"/>
      <c r="Q799" s="2475"/>
      <c r="R799" s="2475"/>
      <c r="S799" s="2475"/>
      <c r="T799" s="2475"/>
      <c r="U799" s="2475"/>
      <c r="V799" s="2475"/>
      <c r="W799" s="2475"/>
      <c r="X799" s="2475"/>
      <c r="Y799" s="2475"/>
      <c r="Z799" s="2475"/>
      <c r="AA799" s="2475"/>
      <c r="AB799" s="2475"/>
      <c r="AC799" s="2475"/>
      <c r="AD799" s="2475"/>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75"/>
      <c r="F800" s="2475"/>
      <c r="G800" s="2475"/>
      <c r="H800" s="2475"/>
      <c r="I800" s="2475"/>
      <c r="J800" s="2475"/>
      <c r="K800" s="2475"/>
      <c r="L800" s="2475"/>
      <c r="M800" s="2475"/>
      <c r="N800" s="2475"/>
      <c r="O800" s="2475"/>
      <c r="P800" s="2475"/>
      <c r="Q800" s="2475"/>
      <c r="R800" s="2475"/>
      <c r="S800" s="2475"/>
      <c r="T800" s="2475"/>
      <c r="U800" s="2475"/>
      <c r="V800" s="2475"/>
      <c r="W800" s="2475"/>
      <c r="X800" s="2475"/>
      <c r="Y800" s="2475"/>
      <c r="Z800" s="2475"/>
      <c r="AA800" s="2475"/>
      <c r="AB800" s="2475"/>
      <c r="AC800" s="2475"/>
      <c r="AD800" s="2475"/>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75"/>
      <c r="F801" s="2475"/>
      <c r="G801" s="2475"/>
      <c r="H801" s="2475"/>
      <c r="I801" s="2475"/>
      <c r="J801" s="2475"/>
      <c r="K801" s="2475"/>
      <c r="L801" s="2475"/>
      <c r="M801" s="2475"/>
      <c r="N801" s="2475"/>
      <c r="O801" s="2475"/>
      <c r="P801" s="2475"/>
      <c r="Q801" s="2475"/>
      <c r="R801" s="2475"/>
      <c r="S801" s="2475"/>
      <c r="T801" s="2475"/>
      <c r="U801" s="2475"/>
      <c r="V801" s="2475"/>
      <c r="W801" s="2475"/>
      <c r="X801" s="2475"/>
      <c r="Y801" s="2475"/>
      <c r="Z801" s="2475"/>
      <c r="AA801" s="2475"/>
      <c r="AB801" s="2475"/>
      <c r="AC801" s="2475"/>
      <c r="AD801" s="2475"/>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1391</v>
      </c>
      <c r="E803" s="932"/>
      <c r="F803" s="932"/>
      <c r="G803" s="932"/>
      <c r="H803" s="2538" t="s">
        <v>590</v>
      </c>
      <c r="I803" s="2538"/>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1441</v>
      </c>
      <c r="AJ805" s="2483">
        <f>VLOOKUP($H$803,$AO$797:$AP$798,2,FALSE)</f>
        <v>0</v>
      </c>
      <c r="AK805" s="2485"/>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2587</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475" t="s">
        <v>2588</v>
      </c>
      <c r="F809" s="2475"/>
      <c r="G809" s="2475"/>
      <c r="H809" s="2475"/>
      <c r="I809" s="2475"/>
      <c r="J809" s="2475"/>
      <c r="K809" s="2475"/>
      <c r="L809" s="2475"/>
      <c r="M809" s="2475"/>
      <c r="N809" s="2475"/>
      <c r="O809" s="2475"/>
      <c r="P809" s="2475"/>
      <c r="Q809" s="2475"/>
      <c r="R809" s="2475"/>
      <c r="S809" s="2475"/>
      <c r="T809" s="2475"/>
      <c r="U809" s="2475"/>
      <c r="V809" s="2475"/>
      <c r="W809" s="2475"/>
      <c r="X809" s="2475"/>
      <c r="Y809" s="2475"/>
      <c r="Z809" s="2475"/>
      <c r="AA809" s="2475"/>
      <c r="AB809" s="2475"/>
      <c r="AC809" s="2475"/>
      <c r="AD809" s="2475"/>
      <c r="AE809" s="550"/>
      <c r="AF809" s="2458" t="s">
        <v>1370</v>
      </c>
      <c r="AG809" s="2458"/>
      <c r="AH809" s="2458"/>
      <c r="AI809" s="2458"/>
      <c r="AJ809" s="2458"/>
      <c r="AK809" s="2458"/>
      <c r="AL809" s="2458"/>
      <c r="AN809" s="595"/>
    </row>
    <row r="810" spans="1:81" s="549" customFormat="1" ht="12.75" customHeight="1">
      <c r="B810" s="614"/>
      <c r="C810" s="684"/>
      <c r="D810" s="659"/>
      <c r="E810" s="2475"/>
      <c r="F810" s="2475"/>
      <c r="G810" s="2475"/>
      <c r="H810" s="2475"/>
      <c r="I810" s="2475"/>
      <c r="J810" s="2475"/>
      <c r="K810" s="2475"/>
      <c r="L810" s="2475"/>
      <c r="M810" s="2475"/>
      <c r="N810" s="2475"/>
      <c r="O810" s="2475"/>
      <c r="P810" s="2475"/>
      <c r="Q810" s="2475"/>
      <c r="R810" s="2475"/>
      <c r="S810" s="2475"/>
      <c r="T810" s="2475"/>
      <c r="U810" s="2475"/>
      <c r="V810" s="2475"/>
      <c r="W810" s="2475"/>
      <c r="X810" s="2475"/>
      <c r="Y810" s="2475"/>
      <c r="Z810" s="2475"/>
      <c r="AA810" s="2475"/>
      <c r="AB810" s="2475"/>
      <c r="AC810" s="2475"/>
      <c r="AD810" s="2475"/>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1391</v>
      </c>
      <c r="E812" s="932"/>
      <c r="F812" s="932"/>
      <c r="G812" s="932"/>
      <c r="H812" s="2538" t="s">
        <v>590</v>
      </c>
      <c r="I812" s="2538"/>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2589</v>
      </c>
      <c r="AJ814" s="2483">
        <f>IF(H812="Yes",5,0)</f>
        <v>0</v>
      </c>
      <c r="AK814" s="2485"/>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1442</v>
      </c>
      <c r="AK816" s="2483">
        <f>IF(($AJ$634+$AJ$653+$AJ$665+$AJ$700+$AJ$724+$AJ$738+$AJ$750+$AJ$766+$AJ$778+$AJ$794+AJ805+AJ814)&gt;10,10,($AJ$634+$AJ$653+$AJ$665+$AJ$700+$AJ$724+$AJ$738+$AJ$750+$AJ$766+$AJ$778+$AJ$794+AJ805+AJ814))</f>
        <v>10</v>
      </c>
      <c r="AL816" s="2484"/>
      <c r="AM816" s="2485"/>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70" t="s">
        <v>1557</v>
      </c>
      <c r="B819" s="2571"/>
      <c r="C819" s="2571"/>
      <c r="D819" s="2571"/>
      <c r="E819" s="2571"/>
      <c r="F819" s="2571"/>
      <c r="G819" s="2571"/>
      <c r="H819" s="2571"/>
      <c r="I819" s="2571"/>
      <c r="J819" s="2571"/>
      <c r="K819" s="2571"/>
      <c r="L819" s="2571"/>
      <c r="M819" s="2571"/>
      <c r="N819" s="2571"/>
      <c r="O819" s="2571"/>
      <c r="P819" s="2571"/>
      <c r="Q819" s="2571"/>
      <c r="R819" s="2571"/>
      <c r="S819" s="2571"/>
      <c r="T819" s="2571"/>
      <c r="U819" s="2571"/>
      <c r="V819" s="2571"/>
      <c r="W819" s="2571"/>
      <c r="X819" s="2571"/>
      <c r="Y819" s="2571"/>
      <c r="Z819" s="2571"/>
      <c r="AA819" s="2571"/>
      <c r="AB819" s="2571"/>
      <c r="AC819" s="2571"/>
      <c r="AD819" s="2571"/>
      <c r="AE819" s="2571"/>
      <c r="AF819" s="2571"/>
      <c r="AG819" s="2571"/>
      <c r="AH819" s="2571"/>
      <c r="AI819" s="2571"/>
      <c r="AJ819" s="2571"/>
      <c r="AK819" s="2571"/>
      <c r="AL819" s="2571"/>
      <c r="AM819" s="2571"/>
    </row>
    <row r="820" spans="1:43">
      <c r="A820" s="2572"/>
      <c r="B820" s="2572"/>
      <c r="C820" s="2572"/>
      <c r="D820" s="2572"/>
      <c r="E820" s="2572"/>
      <c r="F820" s="2572"/>
      <c r="G820" s="2572"/>
      <c r="H820" s="2572"/>
      <c r="I820" s="2572"/>
      <c r="J820" s="2572"/>
      <c r="K820" s="2572"/>
      <c r="L820" s="2572"/>
      <c r="M820" s="2572"/>
      <c r="N820" s="2572"/>
      <c r="O820" s="2572"/>
      <c r="P820" s="2572"/>
      <c r="Q820" s="2572"/>
      <c r="R820" s="2572"/>
      <c r="S820" s="2572"/>
      <c r="T820" s="2572"/>
      <c r="U820" s="2572"/>
      <c r="V820" s="2572"/>
      <c r="W820" s="2572"/>
      <c r="X820" s="2572"/>
      <c r="Y820" s="2572"/>
      <c r="Z820" s="2572"/>
      <c r="AA820" s="2572"/>
      <c r="AB820" s="2572"/>
      <c r="AC820" s="2572"/>
      <c r="AD820" s="2572"/>
      <c r="AE820" s="2572"/>
      <c r="AF820" s="2572"/>
      <c r="AG820" s="2572"/>
      <c r="AH820" s="2572"/>
      <c r="AI820" s="2572"/>
      <c r="AJ820" s="2572"/>
      <c r="AK820" s="2572"/>
      <c r="AL820" s="2572"/>
      <c r="AM820" s="2572"/>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21"/>
      <c r="B822" s="2521"/>
      <c r="C822" s="2521"/>
      <c r="D822" s="2521"/>
      <c r="E822" s="2521"/>
      <c r="F822" s="2521"/>
      <c r="G822" s="2521"/>
      <c r="H822" s="2521"/>
      <c r="I822" s="2521"/>
      <c r="J822" s="2521"/>
      <c r="K822" s="2521"/>
      <c r="L822" s="2521"/>
      <c r="M822" s="2521"/>
      <c r="N822" s="2521"/>
      <c r="O822" s="2521"/>
      <c r="P822" s="2521"/>
      <c r="Q822" s="2521"/>
      <c r="R822" s="2521"/>
      <c r="S822" s="2521"/>
      <c r="T822" s="2521"/>
      <c r="U822" s="2521"/>
      <c r="V822" s="2521"/>
      <c r="W822" s="2521"/>
      <c r="X822" s="2521"/>
      <c r="Y822" s="2521"/>
      <c r="Z822" s="2521"/>
      <c r="AA822" s="2521"/>
      <c r="AB822" s="2521"/>
      <c r="AC822" s="2521"/>
      <c r="AD822" s="2521"/>
      <c r="AE822" s="2521"/>
      <c r="AF822" s="2521"/>
      <c r="AG822" s="2521"/>
      <c r="AH822" s="2521"/>
      <c r="AI822" s="2521"/>
      <c r="AJ822" s="2521"/>
      <c r="AK822" s="2521"/>
      <c r="AL822" s="2521"/>
      <c r="AM822" s="2521"/>
      <c r="AP822" s="812"/>
      <c r="AQ822" s="812"/>
    </row>
    <row r="823" spans="1:43">
      <c r="A823" s="2521"/>
      <c r="B823" s="2521"/>
      <c r="C823" s="2521"/>
      <c r="D823" s="2521"/>
      <c r="E823" s="2521"/>
      <c r="F823" s="2521"/>
      <c r="G823" s="2521"/>
      <c r="H823" s="2521"/>
      <c r="I823" s="2521"/>
      <c r="J823" s="2521"/>
      <c r="K823" s="2521"/>
      <c r="L823" s="2521"/>
      <c r="M823" s="2521"/>
      <c r="N823" s="2521"/>
      <c r="O823" s="2521"/>
      <c r="P823" s="2521"/>
      <c r="Q823" s="2521"/>
      <c r="R823" s="2521"/>
      <c r="S823" s="2521"/>
      <c r="T823" s="2521"/>
      <c r="U823" s="2521"/>
      <c r="V823" s="2521"/>
      <c r="W823" s="2521"/>
      <c r="X823" s="2521"/>
      <c r="Y823" s="2521"/>
      <c r="Z823" s="2521"/>
      <c r="AA823" s="2521"/>
      <c r="AB823" s="2521"/>
      <c r="AC823" s="2521"/>
      <c r="AD823" s="2521"/>
      <c r="AE823" s="2521"/>
      <c r="AF823" s="2521"/>
      <c r="AG823" s="2521"/>
      <c r="AH823" s="2521"/>
      <c r="AI823" s="2521"/>
      <c r="AJ823" s="2521"/>
      <c r="AK823" s="2521"/>
      <c r="AL823" s="2521"/>
      <c r="AM823" s="2521"/>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73" t="s">
        <v>1558</v>
      </c>
      <c r="U824" s="2574"/>
      <c r="V824" s="2574"/>
      <c r="W824" s="2574"/>
      <c r="X824" s="2574"/>
      <c r="Y824" s="2575"/>
      <c r="Z824" s="2573" t="s">
        <v>1559</v>
      </c>
      <c r="AA824" s="2574"/>
      <c r="AB824" s="2574"/>
      <c r="AC824" s="2574"/>
      <c r="AD824" s="2574"/>
      <c r="AE824" s="2575"/>
      <c r="AF824" s="2573" t="s">
        <v>1560</v>
      </c>
      <c r="AG824" s="2574"/>
      <c r="AH824" s="2574"/>
      <c r="AI824" s="2574"/>
      <c r="AJ824" s="2574"/>
      <c r="AK824" s="2575"/>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76"/>
      <c r="U825" s="2577"/>
      <c r="V825" s="2577"/>
      <c r="W825" s="2577"/>
      <c r="X825" s="2577"/>
      <c r="Y825" s="2578"/>
      <c r="Z825" s="2576"/>
      <c r="AA825" s="2577"/>
      <c r="AB825" s="2577"/>
      <c r="AC825" s="2577"/>
      <c r="AD825" s="2577"/>
      <c r="AE825" s="2578"/>
      <c r="AF825" s="2576"/>
      <c r="AG825" s="2577"/>
      <c r="AH825" s="2577"/>
      <c r="AI825" s="2577"/>
      <c r="AJ825" s="2577"/>
      <c r="AK825" s="2578"/>
      <c r="AL825" s="814"/>
      <c r="AM825" s="594"/>
      <c r="AO825" s="812"/>
      <c r="AP825" s="812"/>
      <c r="AQ825" s="812"/>
    </row>
    <row r="826" spans="1:43">
      <c r="A826" s="815" t="s">
        <v>756</v>
      </c>
      <c r="B826" s="2553" t="str">
        <f>B7</f>
        <v xml:space="preserve">Acquisition/Rehabilitation Project Priorities </v>
      </c>
      <c r="C826" s="2553"/>
      <c r="D826" s="2553"/>
      <c r="E826" s="2553"/>
      <c r="F826" s="2553"/>
      <c r="G826" s="2553"/>
      <c r="H826" s="2553"/>
      <c r="I826" s="2553"/>
      <c r="J826" s="2553"/>
      <c r="K826" s="2553"/>
      <c r="L826" s="2553"/>
      <c r="M826" s="2553"/>
      <c r="N826" s="2553"/>
      <c r="O826" s="2553"/>
      <c r="P826" s="2553"/>
      <c r="Q826" s="2553"/>
      <c r="R826" s="2553"/>
      <c r="S826" s="2554"/>
      <c r="T826" s="2555">
        <f>AK61</f>
        <v>0</v>
      </c>
      <c r="U826" s="2556"/>
      <c r="V826" s="2556"/>
      <c r="W826" s="2556"/>
      <c r="X826" s="2556"/>
      <c r="Y826" s="2557"/>
      <c r="Z826" s="2558">
        <v>20</v>
      </c>
      <c r="AA826" s="2556"/>
      <c r="AB826" s="2556"/>
      <c r="AC826" s="2556"/>
      <c r="AD826" s="2556"/>
      <c r="AE826" s="2557"/>
      <c r="AF826" s="2551">
        <f>IF(T826&gt;Z826,Z826,T826)</f>
        <v>0</v>
      </c>
      <c r="AG826" s="2551"/>
      <c r="AH826" s="2551"/>
      <c r="AI826" s="2551"/>
      <c r="AJ826" s="2551"/>
      <c r="AK826" s="2551"/>
      <c r="AL826" s="814"/>
      <c r="AM826" s="594"/>
      <c r="AO826" s="812"/>
      <c r="AP826" s="812"/>
      <c r="AQ826" s="812"/>
    </row>
    <row r="827" spans="1:43">
      <c r="A827" s="815" t="s">
        <v>1531</v>
      </c>
      <c r="B827" s="2553" t="s">
        <v>1306</v>
      </c>
      <c r="C827" s="2553"/>
      <c r="D827" s="2553"/>
      <c r="E827" s="2553"/>
      <c r="F827" s="2553"/>
      <c r="G827" s="2553"/>
      <c r="H827" s="2553"/>
      <c r="I827" s="2553"/>
      <c r="J827" s="2553"/>
      <c r="K827" s="2553"/>
      <c r="L827" s="2553"/>
      <c r="M827" s="2553"/>
      <c r="N827" s="2553"/>
      <c r="O827" s="2553"/>
      <c r="P827" s="2553"/>
      <c r="Q827" s="2553"/>
      <c r="R827" s="2553"/>
      <c r="S827" s="2554"/>
      <c r="T827" s="2555">
        <f>AK83</f>
        <v>10</v>
      </c>
      <c r="U827" s="2556"/>
      <c r="V827" s="2556"/>
      <c r="W827" s="2556"/>
      <c r="X827" s="2556"/>
      <c r="Y827" s="2557"/>
      <c r="Z827" s="2558">
        <v>10</v>
      </c>
      <c r="AA827" s="2556"/>
      <c r="AB827" s="2556"/>
      <c r="AC827" s="2556"/>
      <c r="AD827" s="2556"/>
      <c r="AE827" s="2557"/>
      <c r="AF827" s="2551">
        <f>IF(T827&gt;Z827,Z827,T827)</f>
        <v>10</v>
      </c>
      <c r="AG827" s="2551"/>
      <c r="AH827" s="2551"/>
      <c r="AI827" s="2551"/>
      <c r="AJ827" s="2551"/>
      <c r="AK827" s="2551"/>
      <c r="AL827" s="814"/>
      <c r="AM827" s="594"/>
      <c r="AO827" s="812"/>
      <c r="AP827" s="812"/>
      <c r="AQ827" s="812"/>
    </row>
    <row r="828" spans="1:43">
      <c r="A828" s="815" t="s">
        <v>1540</v>
      </c>
      <c r="B828" s="2553" t="s">
        <v>1316</v>
      </c>
      <c r="C828" s="2553"/>
      <c r="D828" s="2553"/>
      <c r="E828" s="2553"/>
      <c r="F828" s="2553"/>
      <c r="G828" s="2553"/>
      <c r="H828" s="2553"/>
      <c r="I828" s="2553"/>
      <c r="J828" s="2553"/>
      <c r="K828" s="2553"/>
      <c r="L828" s="2553"/>
      <c r="M828" s="2553"/>
      <c r="N828" s="2553"/>
      <c r="O828" s="2553"/>
      <c r="P828" s="2553"/>
      <c r="Q828" s="2553"/>
      <c r="R828" s="2553"/>
      <c r="S828" s="2554"/>
      <c r="T828" s="2555">
        <f ca="1">AK108</f>
        <v>20</v>
      </c>
      <c r="U828" s="2556"/>
      <c r="V828" s="2556"/>
      <c r="W828" s="2556"/>
      <c r="X828" s="2556"/>
      <c r="Y828" s="2557"/>
      <c r="Z828" s="2558">
        <v>20</v>
      </c>
      <c r="AA828" s="2556"/>
      <c r="AB828" s="2556"/>
      <c r="AC828" s="2556"/>
      <c r="AD828" s="2556"/>
      <c r="AE828" s="2557"/>
      <c r="AF828" s="2551">
        <f ca="1">IF(T828&gt;Z828,Z828,T828)</f>
        <v>20</v>
      </c>
      <c r="AG828" s="2551"/>
      <c r="AH828" s="2551"/>
      <c r="AI828" s="2551"/>
      <c r="AJ828" s="2551"/>
      <c r="AK828" s="2551"/>
      <c r="AL828" s="814"/>
      <c r="AM828" s="594"/>
      <c r="AO828" s="812"/>
      <c r="AP828" s="812"/>
      <c r="AQ828" s="812"/>
    </row>
    <row r="829" spans="1:43">
      <c r="A829" s="815" t="s">
        <v>1561</v>
      </c>
      <c r="B829" s="2553" t="s">
        <v>1326</v>
      </c>
      <c r="C829" s="2553"/>
      <c r="D829" s="2553"/>
      <c r="E829" s="2553"/>
      <c r="F829" s="2553"/>
      <c r="G829" s="2553"/>
      <c r="H829" s="2553"/>
      <c r="I829" s="2553"/>
      <c r="J829" s="2553"/>
      <c r="K829" s="2553"/>
      <c r="L829" s="2553"/>
      <c r="M829" s="2553"/>
      <c r="N829" s="2553"/>
      <c r="O829" s="2553"/>
      <c r="P829" s="2553"/>
      <c r="Q829" s="2553"/>
      <c r="R829" s="2553"/>
      <c r="S829" s="2554"/>
      <c r="T829" s="2555">
        <f>AK142</f>
        <v>10</v>
      </c>
      <c r="U829" s="2556"/>
      <c r="V829" s="2556"/>
      <c r="W829" s="2556"/>
      <c r="X829" s="2556"/>
      <c r="Y829" s="2557"/>
      <c r="Z829" s="2558">
        <v>10</v>
      </c>
      <c r="AA829" s="2556"/>
      <c r="AB829" s="2556"/>
      <c r="AC829" s="2556"/>
      <c r="AD829" s="2556"/>
      <c r="AE829" s="2557"/>
      <c r="AF829" s="2551">
        <f>IF(T829&gt;Z829,Z829,T829)</f>
        <v>10</v>
      </c>
      <c r="AG829" s="2551"/>
      <c r="AH829" s="2551"/>
      <c r="AI829" s="2551"/>
      <c r="AJ829" s="2551"/>
      <c r="AK829" s="2551"/>
      <c r="AL829" s="814"/>
      <c r="AM829" s="594"/>
      <c r="AO829" s="812"/>
      <c r="AP829" s="812"/>
      <c r="AQ829" s="812"/>
    </row>
    <row r="830" spans="1:43">
      <c r="A830" s="816" t="s">
        <v>1562</v>
      </c>
      <c r="B830" s="2553" t="s">
        <v>1563</v>
      </c>
      <c r="C830" s="2553"/>
      <c r="D830" s="2553"/>
      <c r="E830" s="2553"/>
      <c r="F830" s="2553"/>
      <c r="G830" s="2553"/>
      <c r="H830" s="2553"/>
      <c r="I830" s="2553"/>
      <c r="J830" s="2553"/>
      <c r="K830" s="2553"/>
      <c r="L830" s="2553"/>
      <c r="M830" s="2553"/>
      <c r="N830" s="2553"/>
      <c r="O830" s="2553"/>
      <c r="P830" s="2553"/>
      <c r="Q830" s="2553"/>
      <c r="R830" s="2553"/>
      <c r="S830" s="2554"/>
      <c r="T830" s="2579">
        <f>SUM(T831:Y832)</f>
        <v>10</v>
      </c>
      <c r="U830" s="2579"/>
      <c r="V830" s="2579"/>
      <c r="W830" s="2579"/>
      <c r="X830" s="2579"/>
      <c r="Y830" s="2579"/>
      <c r="Z830" s="2551">
        <v>10</v>
      </c>
      <c r="AA830" s="2551"/>
      <c r="AB830" s="2551"/>
      <c r="AC830" s="2551"/>
      <c r="AD830" s="2551"/>
      <c r="AE830" s="2551"/>
      <c r="AF830" s="2551">
        <f>IF(T830&gt;Z830,Z830,T830)</f>
        <v>10</v>
      </c>
      <c r="AG830" s="2551"/>
      <c r="AH830" s="2551"/>
      <c r="AI830" s="2551"/>
      <c r="AJ830" s="2551"/>
      <c r="AK830" s="2551"/>
      <c r="AL830" s="814"/>
      <c r="AM830" s="594"/>
    </row>
    <row r="831" spans="1:43">
      <c r="A831" s="535"/>
      <c r="B831" s="599"/>
      <c r="C831" s="2580" t="s">
        <v>1564</v>
      </c>
      <c r="D831" s="2580"/>
      <c r="E831" s="2580"/>
      <c r="F831" s="2580"/>
      <c r="G831" s="2580"/>
      <c r="H831" s="2580"/>
      <c r="I831" s="2580"/>
      <c r="J831" s="2580"/>
      <c r="K831" s="2580"/>
      <c r="L831" s="2580"/>
      <c r="M831" s="2580"/>
      <c r="N831" s="2580"/>
      <c r="O831" s="2580"/>
      <c r="P831" s="2580"/>
      <c r="Q831" s="2580"/>
      <c r="R831" s="2580"/>
      <c r="S831" s="2581"/>
      <c r="T831" s="2472">
        <f>AJ165</f>
        <v>7</v>
      </c>
      <c r="U831" s="2472"/>
      <c r="V831" s="2472"/>
      <c r="W831" s="2472"/>
      <c r="X831" s="2472"/>
      <c r="Y831" s="2472"/>
      <c r="Z831" s="2473">
        <v>7</v>
      </c>
      <c r="AA831" s="2473"/>
      <c r="AB831" s="2473"/>
      <c r="AC831" s="2473"/>
      <c r="AD831" s="2473"/>
      <c r="AE831" s="2473"/>
      <c r="AF831" s="2582"/>
      <c r="AG831" s="2582"/>
      <c r="AH831" s="2582"/>
      <c r="AI831" s="2582"/>
      <c r="AJ831" s="2582"/>
      <c r="AK831" s="2582"/>
      <c r="AL831" s="814"/>
      <c r="AM831" s="594"/>
    </row>
    <row r="832" spans="1:43">
      <c r="A832" s="598"/>
      <c r="B832" s="599"/>
      <c r="C832" s="2580" t="s">
        <v>1565</v>
      </c>
      <c r="D832" s="2580"/>
      <c r="E832" s="2580"/>
      <c r="F832" s="2580"/>
      <c r="G832" s="2580"/>
      <c r="H832" s="2580"/>
      <c r="I832" s="2580"/>
      <c r="J832" s="2580"/>
      <c r="K832" s="2580"/>
      <c r="L832" s="2580"/>
      <c r="M832" s="2580"/>
      <c r="N832" s="2580"/>
      <c r="O832" s="2580"/>
      <c r="P832" s="2580"/>
      <c r="Q832" s="2580"/>
      <c r="R832" s="2580"/>
      <c r="S832" s="2581"/>
      <c r="T832" s="2472">
        <f>AJ179</f>
        <v>3</v>
      </c>
      <c r="U832" s="2472"/>
      <c r="V832" s="2472"/>
      <c r="W832" s="2472"/>
      <c r="X832" s="2472"/>
      <c r="Y832" s="2472"/>
      <c r="Z832" s="2473">
        <v>3</v>
      </c>
      <c r="AA832" s="2473"/>
      <c r="AB832" s="2473"/>
      <c r="AC832" s="2473"/>
      <c r="AD832" s="2473"/>
      <c r="AE832" s="2473"/>
      <c r="AF832" s="2582"/>
      <c r="AG832" s="2582"/>
      <c r="AH832" s="2582"/>
      <c r="AI832" s="2582"/>
      <c r="AJ832" s="2582"/>
      <c r="AK832" s="2582"/>
      <c r="AL832" s="814"/>
      <c r="AM832" s="594"/>
      <c r="AO832" s="549"/>
    </row>
    <row r="833" spans="1:81">
      <c r="A833" s="816" t="s">
        <v>1354</v>
      </c>
      <c r="B833" s="2553" t="s">
        <v>1566</v>
      </c>
      <c r="C833" s="2553"/>
      <c r="D833" s="2553"/>
      <c r="E833" s="2553"/>
      <c r="F833" s="2553"/>
      <c r="G833" s="2553"/>
      <c r="H833" s="2553"/>
      <c r="I833" s="2553"/>
      <c r="J833" s="2553"/>
      <c r="K833" s="2553"/>
      <c r="L833" s="2553"/>
      <c r="M833" s="2553"/>
      <c r="N833" s="2553"/>
      <c r="O833" s="2553"/>
      <c r="P833" s="2553"/>
      <c r="Q833" s="2553"/>
      <c r="R833" s="2553"/>
      <c r="S833" s="2554"/>
      <c r="T833" s="2579">
        <f>AK190</f>
        <v>10</v>
      </c>
      <c r="U833" s="2579"/>
      <c r="V833" s="2579"/>
      <c r="W833" s="2579"/>
      <c r="X833" s="2579"/>
      <c r="Y833" s="2579"/>
      <c r="Z833" s="2551">
        <v>10</v>
      </c>
      <c r="AA833" s="2551"/>
      <c r="AB833" s="2551"/>
      <c r="AC833" s="2551"/>
      <c r="AD833" s="2551"/>
      <c r="AE833" s="2551"/>
      <c r="AF833" s="2551">
        <f>IF(T833&gt;Z833,Z833,T833)</f>
        <v>10</v>
      </c>
      <c r="AG833" s="2551"/>
      <c r="AH833" s="2551"/>
      <c r="AI833" s="2551"/>
      <c r="AJ833" s="2551"/>
      <c r="AK833" s="2551"/>
      <c r="AL833" s="814"/>
      <c r="AM833" s="594"/>
    </row>
    <row r="834" spans="1:81" hidden="1">
      <c r="A834" s="815" t="s">
        <v>1362</v>
      </c>
      <c r="B834" s="2553" t="s">
        <v>1363</v>
      </c>
      <c r="C834" s="2553"/>
      <c r="D834" s="2553"/>
      <c r="E834" s="2553"/>
      <c r="F834" s="2553"/>
      <c r="G834" s="2553"/>
      <c r="H834" s="2553"/>
      <c r="I834" s="2553"/>
      <c r="J834" s="2553"/>
      <c r="K834" s="2553"/>
      <c r="L834" s="2553"/>
      <c r="M834" s="2553"/>
      <c r="N834" s="2553"/>
      <c r="O834" s="2553"/>
      <c r="P834" s="2553"/>
      <c r="Q834" s="2553"/>
      <c r="R834" s="2553"/>
      <c r="S834" s="2554"/>
      <c r="T834" s="2579">
        <f>AK272</f>
        <v>0</v>
      </c>
      <c r="U834" s="2579"/>
      <c r="V834" s="2579"/>
      <c r="W834" s="2579"/>
      <c r="X834" s="2579"/>
      <c r="Y834" s="2579"/>
      <c r="Z834" s="2558">
        <v>8</v>
      </c>
      <c r="AA834" s="2556"/>
      <c r="AB834" s="2556"/>
      <c r="AC834" s="2556"/>
      <c r="AD834" s="2556"/>
      <c r="AE834" s="2557"/>
      <c r="AF834" s="2551"/>
      <c r="AG834" s="2551"/>
      <c r="AH834" s="2551"/>
      <c r="AI834" s="2551"/>
      <c r="AJ834" s="2551"/>
      <c r="AK834" s="2551"/>
      <c r="AL834" s="814"/>
      <c r="AM834" s="594"/>
    </row>
    <row r="835" spans="1:81" s="534" customFormat="1" hidden="1">
      <c r="A835" s="816" t="s">
        <v>588</v>
      </c>
      <c r="B835" s="2553" t="s">
        <v>1567</v>
      </c>
      <c r="C835" s="2553"/>
      <c r="D835" s="2553"/>
      <c r="E835" s="2553"/>
      <c r="F835" s="2553"/>
      <c r="G835" s="2553"/>
      <c r="H835" s="2553"/>
      <c r="I835" s="2553"/>
      <c r="J835" s="2553"/>
      <c r="K835" s="2553"/>
      <c r="L835" s="2553"/>
      <c r="M835" s="2553"/>
      <c r="N835" s="2553"/>
      <c r="O835" s="2553"/>
      <c r="P835" s="2553"/>
      <c r="Q835" s="2553"/>
      <c r="R835" s="2553"/>
      <c r="S835" s="2554"/>
      <c r="T835" s="2579">
        <f>IF(AK548&gt;5,5,AK548)</f>
        <v>0</v>
      </c>
      <c r="U835" s="2579"/>
      <c r="V835" s="2579"/>
      <c r="W835" s="2579"/>
      <c r="X835" s="2579"/>
      <c r="Y835" s="2579"/>
      <c r="Z835" s="2551">
        <v>5</v>
      </c>
      <c r="AA835" s="2551"/>
      <c r="AB835" s="2551"/>
      <c r="AC835" s="2551"/>
      <c r="AD835" s="2551"/>
      <c r="AE835" s="2551"/>
      <c r="AF835" s="2551"/>
      <c r="AG835" s="2551"/>
      <c r="AH835" s="2551"/>
      <c r="AI835" s="2551"/>
      <c r="AJ835" s="2551"/>
      <c r="AK835" s="2551"/>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53" t="str">
        <f>B275</f>
        <v>Readiness to Proceed</v>
      </c>
      <c r="C836" s="2553"/>
      <c r="D836" s="2553"/>
      <c r="E836" s="2553"/>
      <c r="F836" s="2553"/>
      <c r="G836" s="2553"/>
      <c r="H836" s="2553"/>
      <c r="I836" s="2553"/>
      <c r="J836" s="2553"/>
      <c r="K836" s="2553"/>
      <c r="L836" s="2553"/>
      <c r="M836" s="2553"/>
      <c r="N836" s="2553"/>
      <c r="O836" s="2553"/>
      <c r="P836" s="2553"/>
      <c r="Q836" s="2553"/>
      <c r="R836" s="2553"/>
      <c r="S836" s="2554"/>
      <c r="T836" s="2579">
        <f>AK298</f>
        <v>10</v>
      </c>
      <c r="U836" s="2579"/>
      <c r="V836" s="2579"/>
      <c r="W836" s="2579"/>
      <c r="X836" s="2579"/>
      <c r="Y836" s="2579"/>
      <c r="Z836" s="2551">
        <v>10</v>
      </c>
      <c r="AA836" s="2551"/>
      <c r="AB836" s="2551"/>
      <c r="AC836" s="2551"/>
      <c r="AD836" s="2551"/>
      <c r="AE836" s="2551"/>
      <c r="AF836" s="2584">
        <f>IF(T836&gt;Z836,Z836,T836)</f>
        <v>10</v>
      </c>
      <c r="AG836" s="2585"/>
      <c r="AH836" s="2585"/>
      <c r="AI836" s="2585"/>
      <c r="AJ836" s="2585"/>
      <c r="AK836" s="2586"/>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53" t="str">
        <f>B301</f>
        <v>Access to Opportunity</v>
      </c>
      <c r="C837" s="2553"/>
      <c r="D837" s="2553"/>
      <c r="E837" s="2553"/>
      <c r="F837" s="2553"/>
      <c r="G837" s="2553"/>
      <c r="H837" s="2553"/>
      <c r="I837" s="2553"/>
      <c r="J837" s="2553"/>
      <c r="K837" s="2553"/>
      <c r="L837" s="2553"/>
      <c r="M837" s="2553"/>
      <c r="N837" s="2553"/>
      <c r="O837" s="2553"/>
      <c r="P837" s="2553"/>
      <c r="Q837" s="2553"/>
      <c r="R837" s="2553"/>
      <c r="S837" s="2554"/>
      <c r="T837" s="2579">
        <f>AK351</f>
        <v>9</v>
      </c>
      <c r="U837" s="2579"/>
      <c r="V837" s="2579"/>
      <c r="W837" s="2579"/>
      <c r="X837" s="2579"/>
      <c r="Y837" s="2579"/>
      <c r="Z837" s="2584">
        <v>10</v>
      </c>
      <c r="AA837" s="2585"/>
      <c r="AB837" s="2585"/>
      <c r="AC837" s="2585"/>
      <c r="AD837" s="2585"/>
      <c r="AE837" s="2586"/>
      <c r="AF837" s="2584">
        <f>IF(T837&gt;Z837,Z837,T837)</f>
        <v>9</v>
      </c>
      <c r="AG837" s="2585"/>
      <c r="AH837" s="2585"/>
      <c r="AI837" s="2585"/>
      <c r="AJ837" s="2585"/>
      <c r="AK837" s="2586"/>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1568</v>
      </c>
      <c r="D838" s="819"/>
      <c r="E838" s="819"/>
      <c r="F838" s="819"/>
      <c r="G838" s="819"/>
      <c r="H838" s="819"/>
      <c r="I838" s="819"/>
      <c r="J838" s="819"/>
      <c r="K838" s="819"/>
      <c r="L838" s="819"/>
      <c r="M838" s="819"/>
      <c r="N838" s="819"/>
      <c r="O838" s="819"/>
      <c r="P838" s="819"/>
      <c r="Q838" s="819"/>
      <c r="R838" s="817"/>
      <c r="S838" s="820"/>
      <c r="T838" s="2472">
        <f>AK351</f>
        <v>9</v>
      </c>
      <c r="U838" s="2472"/>
      <c r="V838" s="2472"/>
      <c r="W838" s="2472"/>
      <c r="X838" s="2472"/>
      <c r="Y838" s="2472"/>
      <c r="Z838" s="2483">
        <v>20</v>
      </c>
      <c r="AA838" s="2484"/>
      <c r="AB838" s="2484"/>
      <c r="AC838" s="2484"/>
      <c r="AD838" s="2484"/>
      <c r="AE838" s="2485"/>
      <c r="AF838" s="2582"/>
      <c r="AG838" s="2582"/>
      <c r="AH838" s="2582"/>
      <c r="AI838" s="2582"/>
      <c r="AJ838" s="2582"/>
      <c r="AK838" s="2582"/>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53" t="s">
        <v>844</v>
      </c>
      <c r="C839" s="2553"/>
      <c r="D839" s="2553"/>
      <c r="E839" s="2553"/>
      <c r="F839" s="2553"/>
      <c r="G839" s="2553"/>
      <c r="H839" s="2553"/>
      <c r="I839" s="2553"/>
      <c r="J839" s="2553"/>
      <c r="K839" s="2553"/>
      <c r="L839" s="2553"/>
      <c r="M839" s="2553"/>
      <c r="N839" s="2553"/>
      <c r="O839" s="2553"/>
      <c r="P839" s="2553"/>
      <c r="Q839" s="2553"/>
      <c r="R839" s="2553"/>
      <c r="S839" s="2554"/>
      <c r="T839" s="2579">
        <f>AK482</f>
        <v>10</v>
      </c>
      <c r="U839" s="2579"/>
      <c r="V839" s="2579"/>
      <c r="W839" s="2579"/>
      <c r="X839" s="2579"/>
      <c r="Y839" s="2579"/>
      <c r="Z839" s="2584">
        <v>10</v>
      </c>
      <c r="AA839" s="2585"/>
      <c r="AB839" s="2585"/>
      <c r="AC839" s="2585"/>
      <c r="AD839" s="2585"/>
      <c r="AE839" s="2586"/>
      <c r="AF839" s="2551">
        <f>IF(T839&gt;Z839,Z839,T839)</f>
        <v>10</v>
      </c>
      <c r="AG839" s="2551"/>
      <c r="AH839" s="2551"/>
      <c r="AI839" s="2551"/>
      <c r="AJ839" s="2551"/>
      <c r="AK839" s="2551"/>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53" t="s">
        <v>1549</v>
      </c>
      <c r="C840" s="2553"/>
      <c r="D840" s="2553"/>
      <c r="E840" s="2553"/>
      <c r="F840" s="2553"/>
      <c r="G840" s="2553"/>
      <c r="H840" s="2553"/>
      <c r="I840" s="2553"/>
      <c r="J840" s="2553"/>
      <c r="K840" s="2553"/>
      <c r="L840" s="2553"/>
      <c r="M840" s="2553"/>
      <c r="N840" s="2553"/>
      <c r="O840" s="2553"/>
      <c r="P840" s="2553"/>
      <c r="Q840" s="2553"/>
      <c r="R840" s="2553"/>
      <c r="S840" s="2554"/>
      <c r="T840" s="2579">
        <f>AK572</f>
        <v>12</v>
      </c>
      <c r="U840" s="2579"/>
      <c r="V840" s="2579"/>
      <c r="W840" s="2579"/>
      <c r="X840" s="2579"/>
      <c r="Y840" s="2579"/>
      <c r="Z840" s="2584">
        <v>12</v>
      </c>
      <c r="AA840" s="2585"/>
      <c r="AB840" s="2585"/>
      <c r="AC840" s="2585"/>
      <c r="AD840" s="2585"/>
      <c r="AE840" s="2586"/>
      <c r="AF840" s="2551">
        <f>IF(T840&gt;Z840,Z840,T840)</f>
        <v>12</v>
      </c>
      <c r="AG840" s="2551"/>
      <c r="AH840" s="2551"/>
      <c r="AI840" s="2551"/>
      <c r="AJ840" s="2551"/>
      <c r="AK840" s="2551"/>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53" t="s">
        <v>1569</v>
      </c>
      <c r="C841" s="2553"/>
      <c r="D841" s="2553"/>
      <c r="E841" s="2553"/>
      <c r="F841" s="2553"/>
      <c r="G841" s="2553"/>
      <c r="H841" s="2553"/>
      <c r="I841" s="2553"/>
      <c r="J841" s="2553"/>
      <c r="K841" s="2553"/>
      <c r="L841" s="2553"/>
      <c r="M841" s="2553"/>
      <c r="N841" s="2553"/>
      <c r="O841" s="2553"/>
      <c r="P841" s="2553"/>
      <c r="Q841" s="2553"/>
      <c r="R841" s="2553"/>
      <c r="S841" s="2554"/>
      <c r="T841" s="2579">
        <f>AK816</f>
        <v>10</v>
      </c>
      <c r="U841" s="2579"/>
      <c r="V841" s="2579"/>
      <c r="W841" s="2579"/>
      <c r="X841" s="2579"/>
      <c r="Y841" s="2579"/>
      <c r="Z841" s="2584">
        <v>10</v>
      </c>
      <c r="AA841" s="2585"/>
      <c r="AB841" s="2585"/>
      <c r="AC841" s="2585"/>
      <c r="AD841" s="2585"/>
      <c r="AE841" s="2586"/>
      <c r="AF841" s="2551">
        <f>IF(T841&gt;Z841,Z841,T841)</f>
        <v>10</v>
      </c>
      <c r="AG841" s="2551"/>
      <c r="AH841" s="2551"/>
      <c r="AI841" s="2551"/>
      <c r="AJ841" s="2551"/>
      <c r="AK841" s="2551"/>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1570</v>
      </c>
      <c r="C842" s="696"/>
      <c r="D842" s="696"/>
      <c r="E842" s="696"/>
      <c r="F842" s="696"/>
      <c r="G842" s="696"/>
      <c r="H842" s="696"/>
      <c r="I842" s="696"/>
      <c r="J842" s="696"/>
      <c r="K842" s="696"/>
      <c r="L842" s="696"/>
      <c r="M842" s="696"/>
      <c r="N842" s="696"/>
      <c r="O842" s="696"/>
      <c r="P842" s="696"/>
      <c r="Q842" s="696"/>
      <c r="R842" s="696"/>
      <c r="S842" s="1200"/>
      <c r="T842" s="2583"/>
      <c r="U842" s="2583"/>
      <c r="V842" s="2583"/>
      <c r="W842" s="2583"/>
      <c r="X842" s="2583"/>
      <c r="Y842" s="2583"/>
      <c r="Z842" s="2473" t="s">
        <v>1571</v>
      </c>
      <c r="AA842" s="2473"/>
      <c r="AB842" s="2473"/>
      <c r="AC842" s="2473"/>
      <c r="AD842" s="2473"/>
      <c r="AE842" s="2473"/>
      <c r="AF842" s="2584">
        <f>ABS(T842)</f>
        <v>0</v>
      </c>
      <c r="AG842" s="2585"/>
      <c r="AH842" s="2585"/>
      <c r="AI842" s="2585"/>
      <c r="AJ842" s="2585"/>
      <c r="AK842" s="2586"/>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87" t="s">
        <v>1572</v>
      </c>
      <c r="B843" s="2588"/>
      <c r="C843" s="2588"/>
      <c r="D843" s="2588"/>
      <c r="E843" s="2588"/>
      <c r="F843" s="2588"/>
      <c r="G843" s="2588"/>
      <c r="H843" s="2588"/>
      <c r="I843" s="2588"/>
      <c r="J843" s="2588"/>
      <c r="K843" s="2588"/>
      <c r="L843" s="2588"/>
      <c r="M843" s="2588"/>
      <c r="N843" s="2588"/>
      <c r="O843" s="2588"/>
      <c r="P843" s="2588"/>
      <c r="Q843" s="2588"/>
      <c r="R843" s="2588"/>
      <c r="S843" s="2588"/>
      <c r="T843" s="2588"/>
      <c r="U843" s="2588"/>
      <c r="V843" s="2588"/>
      <c r="W843" s="2588"/>
      <c r="X843" s="2588"/>
      <c r="Y843" s="2588"/>
      <c r="Z843" s="2588"/>
      <c r="AA843" s="2588"/>
      <c r="AB843" s="2588"/>
      <c r="AC843" s="2588"/>
      <c r="AD843" s="2588"/>
      <c r="AE843" s="2589"/>
      <c r="AF843" s="2593">
        <f ca="1">SUM(AF826:AK841)-AF842</f>
        <v>111</v>
      </c>
      <c r="AG843" s="2594"/>
      <c r="AH843" s="2594"/>
      <c r="AI843" s="2594"/>
      <c r="AJ843" s="2594"/>
      <c r="AK843" s="2595"/>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90"/>
      <c r="B844" s="2591"/>
      <c r="C844" s="2591"/>
      <c r="D844" s="2591"/>
      <c r="E844" s="2591"/>
      <c r="F844" s="2591"/>
      <c r="G844" s="2591"/>
      <c r="H844" s="2591"/>
      <c r="I844" s="2591"/>
      <c r="J844" s="2591"/>
      <c r="K844" s="2591"/>
      <c r="L844" s="2591"/>
      <c r="M844" s="2591"/>
      <c r="N844" s="2591"/>
      <c r="O844" s="2591"/>
      <c r="P844" s="2591"/>
      <c r="Q844" s="2591"/>
      <c r="R844" s="2591"/>
      <c r="S844" s="2591"/>
      <c r="T844" s="2591"/>
      <c r="U844" s="2591"/>
      <c r="V844" s="2591"/>
      <c r="W844" s="2591"/>
      <c r="X844" s="2591"/>
      <c r="Y844" s="2591"/>
      <c r="Z844" s="2591"/>
      <c r="AA844" s="2591"/>
      <c r="AB844" s="2591"/>
      <c r="AC844" s="2591"/>
      <c r="AD844" s="2591"/>
      <c r="AE844" s="2592"/>
      <c r="AF844" s="2596"/>
      <c r="AG844" s="2597"/>
      <c r="AH844" s="2597"/>
      <c r="AI844" s="2597"/>
      <c r="AJ844" s="2597"/>
      <c r="AK844" s="2598"/>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Calina Bovee</cp:lastModifiedBy>
  <cp:lastPrinted>2026-05-08T13:49:44Z</cp:lastPrinted>
  <dcterms:created xsi:type="dcterms:W3CDTF">2007-12-27T18:26:28Z</dcterms:created>
  <dcterms:modified xsi:type="dcterms:W3CDTF">2026-05-18T20:29:48Z</dcterms:modified>
</cp:coreProperties>
</file>